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mc:AlternateContent xmlns:mc="http://schemas.openxmlformats.org/markup-compatibility/2006">
    <mc:Choice Requires="x15">
      <x15ac:absPath xmlns:x15ac="http://schemas.microsoft.com/office/spreadsheetml/2010/11/ac" url="/Users/sophiabitner/Library/Containers/net.whatsapp.WhatsApp/Data/tmp/documents/19A94013-7DEF-4832-A8D6-EB3FE0626EE7/"/>
    </mc:Choice>
  </mc:AlternateContent>
  <xr:revisionPtr revIDLastSave="0" documentId="8_{FFE83496-4AB5-6347-8E25-8E4DA1770D44}" xr6:coauthVersionLast="47" xr6:coauthVersionMax="47" xr10:uidLastSave="{00000000-0000-0000-0000-000000000000}"/>
  <bookViews>
    <workbookView xWindow="0" yWindow="740" windowWidth="19420" windowHeight="10300" tabRatio="993" firstSheet="4" activeTab="6" xr2:uid="{00000000-000D-0000-FFFF-FFFF00000000}"/>
  </bookViews>
  <sheets>
    <sheet name="Welcome " sheetId="1" r:id="rId1"/>
    <sheet name="Cashbook Navigation" sheetId="2" r:id="rId2"/>
    <sheet name="Kostensoorts" sheetId="3" r:id="rId3"/>
    <sheet name="Cashbook Cash" sheetId="4" r:id="rId4"/>
    <sheet name="Cashbook ING" sheetId="5" r:id="rId5"/>
    <sheet name="Cashbook ING Baseline Savings" sheetId="6" r:id="rId6"/>
    <sheet name="Cashbook Wix" sheetId="7" r:id="rId7"/>
    <sheet name="Cashbook ING Lustrum Savings" sheetId="8" r:id="rId8"/>
    <sheet name="Budget Navigation" sheetId="9" r:id="rId9"/>
    <sheet name="Overview" sheetId="10" r:id="rId10"/>
    <sheet name="Memberships 25_26" sheetId="11" r:id="rId11"/>
    <sheet name="Board" sheetId="12" r:id="rId12"/>
    <sheet name="Board-Organized Events" sheetId="13" r:id="rId13"/>
    <sheet name="Academic" sheetId="14" r:id="rId14"/>
    <sheet name="Awareness" sheetId="15" r:id="rId15"/>
    <sheet name="Arts" sheetId="16" r:id="rId16"/>
    <sheet name="Travel" sheetId="17" r:id="rId17"/>
    <sheet name="Party" sheetId="18" r:id="rId18"/>
    <sheet name="Cross-Connect" sheetId="19" r:id="rId19"/>
    <sheet name="Sports" sheetId="20" r:id="rId20"/>
    <sheet name="FMW" sheetId="21" r:id="rId21"/>
    <sheet name="TYW" sheetId="22" r:id="rId22"/>
    <sheet name="Yearbook" sheetId="23" r:id="rId23"/>
    <sheet name="AIM Week" sheetId="24" r:id="rId24"/>
    <sheet name="Intreeweek" sheetId="25" state="hidden" r:id="rId25"/>
    <sheet name="Amsterdam Unlocked" sheetId="26" r:id="rId26"/>
    <sheet name="AIM Club" sheetId="27" r:id="rId27"/>
    <sheet name="AIM Sports Teams" sheetId="28" r:id="rId28"/>
    <sheet name="Merchandise" sheetId="29" r:id="rId29"/>
  </sheets>
  <definedNames>
    <definedName name="_xlnm._FilterDatabase" localSheetId="3" hidden="1">'Cashbook Cash'!$A$1:$G$437</definedName>
    <definedName name="_xlnm._FilterDatabase" localSheetId="4" hidden="1">'Cashbook ING'!$A$1:$O$415</definedName>
    <definedName name="_xlnm._FilterDatabase" localSheetId="5" hidden="1">'Cashbook ING Baseline Savings'!$A$1:$K$437</definedName>
    <definedName name="_xlnm._FilterDatabase" localSheetId="7" hidden="1">'Cashbook ING Lustrum Savings'!$A$1:$L$436</definedName>
    <definedName name="_xlnm._FilterDatabase" localSheetId="6" hidden="1">'Cashbook Wix'!$A$1:$P$2063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3" roundtripDataChecksum="WNb9VTLMhSgawph3ZGOzGeCKRlDyrRPzNocpl/wWJ7c="/>
    </ext>
  </extLst>
</workbook>
</file>

<file path=xl/calcChain.xml><?xml version="1.0" encoding="utf-8"?>
<calcChain xmlns="http://schemas.openxmlformats.org/spreadsheetml/2006/main">
  <c r="J39" i="10" l="1"/>
  <c r="B75" i="5"/>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616" i="7"/>
  <c r="B617" i="7"/>
  <c r="B618" i="7"/>
  <c r="B619" i="7"/>
  <c r="B620" i="7"/>
  <c r="B621" i="7"/>
  <c r="B622" i="7"/>
  <c r="B623" i="7"/>
  <c r="I20" i="17"/>
  <c r="I5" i="18"/>
  <c r="L5" i="18" s="1"/>
  <c r="I16" i="14"/>
  <c r="I35" i="14"/>
  <c r="J5" i="13"/>
  <c r="J6" i="13"/>
  <c r="I4" i="13"/>
  <c r="I28" i="18"/>
  <c r="L28" i="18" s="1"/>
  <c r="H25" i="12"/>
  <c r="J31" i="18"/>
  <c r="I3" i="17"/>
  <c r="G10" i="12"/>
  <c r="I7" i="1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95" i="5"/>
  <c r="B326" i="7"/>
  <c r="B327" i="7"/>
  <c r="B328" i="7"/>
  <c r="B329" i="7"/>
  <c r="B330" i="7"/>
  <c r="B331" i="7"/>
  <c r="B332" i="7"/>
  <c r="B333" i="7"/>
  <c r="B334" i="7"/>
  <c r="B335" i="7"/>
  <c r="B336" i="7"/>
  <c r="G39" i="12"/>
  <c r="G35" i="12"/>
  <c r="I3" i="20"/>
  <c r="I14" i="18"/>
  <c r="B312" i="7"/>
  <c r="B313" i="7"/>
  <c r="B314" i="7"/>
  <c r="B315" i="7"/>
  <c r="B316" i="7"/>
  <c r="B317" i="7"/>
  <c r="B318" i="7"/>
  <c r="B319" i="7"/>
  <c r="B320" i="7"/>
  <c r="B321" i="7"/>
  <c r="B322" i="7"/>
  <c r="B323" i="7"/>
  <c r="B324" i="7"/>
  <c r="B325" i="7"/>
  <c r="B337" i="7"/>
  <c r="B338" i="7"/>
  <c r="B339" i="7"/>
  <c r="B340" i="7"/>
  <c r="J13" i="18"/>
  <c r="B250" i="7"/>
  <c r="B251" i="7"/>
  <c r="B252" i="7"/>
  <c r="B253" i="7"/>
  <c r="B254" i="7"/>
  <c r="J6" i="17" s="1"/>
  <c r="B255" i="7"/>
  <c r="B256" i="7"/>
  <c r="B257" i="7"/>
  <c r="B258" i="7"/>
  <c r="B259" i="7"/>
  <c r="B260" i="7"/>
  <c r="B261" i="7"/>
  <c r="B262" i="7"/>
  <c r="J7" i="17" s="1"/>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41" i="7"/>
  <c r="B238" i="7"/>
  <c r="B239" i="7"/>
  <c r="B240" i="7"/>
  <c r="B241" i="7"/>
  <c r="B242" i="7"/>
  <c r="B243" i="7"/>
  <c r="B244" i="7"/>
  <c r="B245" i="7"/>
  <c r="B246" i="7"/>
  <c r="B247" i="7"/>
  <c r="B248" i="7"/>
  <c r="B249"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J19" i="14" s="1"/>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233" i="7"/>
  <c r="B234" i="7"/>
  <c r="B235" i="7"/>
  <c r="B236" i="7"/>
  <c r="B237"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230" i="7"/>
  <c r="B231" i="7"/>
  <c r="B232" i="7"/>
  <c r="B229" i="7"/>
  <c r="B51" i="5"/>
  <c r="B32" i="5"/>
  <c r="B33" i="5"/>
  <c r="B34" i="5"/>
  <c r="B35" i="5"/>
  <c r="B36" i="5"/>
  <c r="B37" i="5"/>
  <c r="B38" i="5"/>
  <c r="B39" i="5"/>
  <c r="B40" i="5"/>
  <c r="B41" i="5"/>
  <c r="B42" i="5"/>
  <c r="B43" i="5"/>
  <c r="B44" i="5"/>
  <c r="B45" i="5"/>
  <c r="B46" i="5"/>
  <c r="B47" i="5"/>
  <c r="B48" i="5"/>
  <c r="B49" i="5"/>
  <c r="B50" i="5"/>
  <c r="B30" i="5"/>
  <c r="B31" i="5"/>
  <c r="B93" i="5"/>
  <c r="B94" i="5"/>
  <c r="J12" i="16"/>
  <c r="B707" i="7"/>
  <c r="B708" i="7"/>
  <c r="B709" i="7"/>
  <c r="B710" i="7"/>
  <c r="B711" i="7"/>
  <c r="B712" i="7"/>
  <c r="B713" i="7"/>
  <c r="B714" i="7"/>
  <c r="B715" i="7"/>
  <c r="B716" i="7"/>
  <c r="B717" i="7"/>
  <c r="B718" i="7"/>
  <c r="B719" i="7"/>
  <c r="B720" i="7"/>
  <c r="B721" i="7"/>
  <c r="B722" i="7"/>
  <c r="B723" i="7"/>
  <c r="B724" i="7"/>
  <c r="B725" i="7"/>
  <c r="B726" i="7"/>
  <c r="I8" i="16"/>
  <c r="B224" i="7"/>
  <c r="B225" i="7"/>
  <c r="B226" i="7"/>
  <c r="B227" i="7"/>
  <c r="B228" i="7"/>
  <c r="J11" i="20"/>
  <c r="G4" i="12"/>
  <c r="B83" i="5"/>
  <c r="B84" i="5"/>
  <c r="B85" i="5"/>
  <c r="I15" i="20" s="1"/>
  <c r="B86" i="5"/>
  <c r="B87" i="5"/>
  <c r="B88" i="5"/>
  <c r="I7" i="14" s="1"/>
  <c r="B89" i="5"/>
  <c r="B90" i="5"/>
  <c r="B91" i="5"/>
  <c r="B92" i="5"/>
  <c r="B68" i="5"/>
  <c r="I6" i="28" s="1"/>
  <c r="B69" i="5"/>
  <c r="I44" i="14" s="1"/>
  <c r="B70" i="5"/>
  <c r="I11" i="20" s="1"/>
  <c r="B71" i="5"/>
  <c r="I12" i="20" s="1"/>
  <c r="B72" i="5"/>
  <c r="B73" i="5"/>
  <c r="B74" i="5"/>
  <c r="I13" i="20" s="1"/>
  <c r="B76" i="5"/>
  <c r="B77" i="5"/>
  <c r="B78" i="5"/>
  <c r="B79" i="5"/>
  <c r="B80" i="5"/>
  <c r="B81" i="5"/>
  <c r="B82" i="5"/>
  <c r="B64" i="5"/>
  <c r="B65" i="5"/>
  <c r="B62" i="5"/>
  <c r="B63" i="5"/>
  <c r="B60" i="5"/>
  <c r="B61" i="5"/>
  <c r="B59" i="5"/>
  <c r="B57" i="5"/>
  <c r="B58" i="5"/>
  <c r="B52" i="5"/>
  <c r="B53" i="5"/>
  <c r="I3" i="22" s="1"/>
  <c r="B54" i="5"/>
  <c r="B55" i="5"/>
  <c r="I13" i="18" s="1"/>
  <c r="B56" i="5"/>
  <c r="B66" i="5"/>
  <c r="B67" i="5"/>
  <c r="B29" i="5"/>
  <c r="L4" i="18"/>
  <c r="L6" i="18"/>
  <c r="I12" i="18"/>
  <c r="B27" i="5"/>
  <c r="I3" i="18" s="1"/>
  <c r="L3" i="18" s="1"/>
  <c r="B28" i="5"/>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178" i="7"/>
  <c r="B179" i="7"/>
  <c r="B180" i="7"/>
  <c r="B181" i="7"/>
  <c r="B182" i="7"/>
  <c r="B183" i="7"/>
  <c r="B184" i="7"/>
  <c r="B185" i="7"/>
  <c r="B186"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2" i="7"/>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J42" i="13"/>
  <c r="B57" i="7"/>
  <c r="B58" i="7"/>
  <c r="B59" i="7"/>
  <c r="B60" i="7"/>
  <c r="B61" i="7"/>
  <c r="B62" i="7"/>
  <c r="B63" i="7"/>
  <c r="B64" i="7"/>
  <c r="B16" i="5"/>
  <c r="B17" i="5"/>
  <c r="B18" i="5"/>
  <c r="B19" i="5"/>
  <c r="B20" i="5"/>
  <c r="B21" i="5"/>
  <c r="B22" i="5"/>
  <c r="G30" i="12" s="1"/>
  <c r="B23" i="5"/>
  <c r="B24" i="5"/>
  <c r="G38" i="12" s="1"/>
  <c r="B25" i="5"/>
  <c r="I3" i="16" s="1"/>
  <c r="B26" i="5"/>
  <c r="B10" i="5"/>
  <c r="B11" i="5"/>
  <c r="B12" i="5"/>
  <c r="B13" i="5"/>
  <c r="B14" i="5"/>
  <c r="B15" i="5"/>
  <c r="B4" i="5"/>
  <c r="B5" i="5"/>
  <c r="B6" i="5"/>
  <c r="B7" i="5"/>
  <c r="B8" i="5"/>
  <c r="B9" i="5"/>
  <c r="B3" i="5"/>
  <c r="H4" i="12" s="1"/>
  <c r="J17" i="20" l="1"/>
  <c r="J16" i="20"/>
  <c r="J32" i="18"/>
  <c r="L32" i="18" s="1"/>
  <c r="G36" i="12"/>
  <c r="J11" i="16"/>
  <c r="J18" i="14"/>
  <c r="J17" i="18"/>
  <c r="L17" i="18" s="1"/>
  <c r="H36" i="12"/>
  <c r="G14" i="12"/>
  <c r="I7" i="18"/>
  <c r="L7" i="18" s="1"/>
  <c r="M7" i="18" s="1"/>
  <c r="J10" i="18"/>
  <c r="L10" i="18" s="1"/>
  <c r="J16" i="18"/>
  <c r="L16" i="18" s="1"/>
  <c r="J9" i="18"/>
  <c r="J12" i="20"/>
  <c r="J13" i="20"/>
  <c r="K5" i="29"/>
  <c r="G5" i="29"/>
  <c r="D5" i="29"/>
  <c r="C5" i="29"/>
  <c r="J4" i="29"/>
  <c r="I4" i="29"/>
  <c r="H4" i="29"/>
  <c r="F4" i="29"/>
  <c r="J3" i="29"/>
  <c r="I3" i="29"/>
  <c r="H3" i="29"/>
  <c r="H5" i="29" s="1"/>
  <c r="F3" i="29"/>
  <c r="F5" i="29" s="1"/>
  <c r="G9" i="28"/>
  <c r="K8" i="28"/>
  <c r="K9" i="28" s="1"/>
  <c r="G8" i="28"/>
  <c r="E8" i="28"/>
  <c r="D8" i="28"/>
  <c r="C8" i="28"/>
  <c r="J7" i="28"/>
  <c r="L7" i="28" s="1"/>
  <c r="M7" i="28" s="1"/>
  <c r="H7" i="28"/>
  <c r="F7" i="28"/>
  <c r="F8" i="28" s="1"/>
  <c r="F58" i="10" s="1"/>
  <c r="H58" i="10" s="1"/>
  <c r="L6" i="28"/>
  <c r="H6" i="28"/>
  <c r="H8" i="28" s="1"/>
  <c r="K5" i="28"/>
  <c r="J5" i="28"/>
  <c r="G5" i="28"/>
  <c r="E5" i="28"/>
  <c r="D5" i="28"/>
  <c r="D9" i="28" s="1"/>
  <c r="C5" i="28"/>
  <c r="C9" i="28" s="1"/>
  <c r="J4" i="28"/>
  <c r="L4" i="28" s="1"/>
  <c r="M4" i="28" s="1"/>
  <c r="H4" i="28"/>
  <c r="F4" i="28"/>
  <c r="F5" i="28" s="1"/>
  <c r="I3" i="28"/>
  <c r="I5" i="28" s="1"/>
  <c r="H3" i="28"/>
  <c r="H5" i="28" s="1"/>
  <c r="H9" i="28" s="1"/>
  <c r="K10" i="27"/>
  <c r="G10" i="27"/>
  <c r="C10" i="27"/>
  <c r="K9" i="27"/>
  <c r="G9" i="27"/>
  <c r="E9" i="27"/>
  <c r="E10" i="27" s="1"/>
  <c r="D9" i="27"/>
  <c r="D10" i="27" s="1"/>
  <c r="C9" i="27"/>
  <c r="J8" i="27"/>
  <c r="L8" i="27" s="1"/>
  <c r="M8" i="27" s="1"/>
  <c r="F8" i="27"/>
  <c r="H8" i="27" s="1"/>
  <c r="I7" i="27"/>
  <c r="I9" i="27" s="1"/>
  <c r="I63" i="10" s="1"/>
  <c r="H7" i="27"/>
  <c r="H9" i="27" s="1"/>
  <c r="K6" i="27"/>
  <c r="G6" i="27"/>
  <c r="F6" i="27"/>
  <c r="E6" i="27"/>
  <c r="D6" i="27"/>
  <c r="C6" i="27"/>
  <c r="J5" i="27"/>
  <c r="F5" i="27"/>
  <c r="H5" i="27" s="1"/>
  <c r="H6" i="27" s="1"/>
  <c r="I4" i="27"/>
  <c r="H4" i="27"/>
  <c r="M4" i="27" s="1"/>
  <c r="I3" i="27"/>
  <c r="H3" i="27"/>
  <c r="K7" i="26"/>
  <c r="J7" i="26"/>
  <c r="G7" i="26"/>
  <c r="F7" i="26"/>
  <c r="E7" i="26"/>
  <c r="D7" i="26"/>
  <c r="C7" i="26"/>
  <c r="I6" i="26"/>
  <c r="L6" i="26" s="1"/>
  <c r="M6" i="26" s="1"/>
  <c r="H6" i="26"/>
  <c r="I5" i="26"/>
  <c r="L5" i="26" s="1"/>
  <c r="M5" i="26" s="1"/>
  <c r="H5" i="26"/>
  <c r="I4" i="26"/>
  <c r="L4" i="26" s="1"/>
  <c r="H4" i="26"/>
  <c r="H7" i="26" s="1"/>
  <c r="I3" i="26"/>
  <c r="L3" i="26" s="1"/>
  <c r="H3" i="26"/>
  <c r="K19" i="25"/>
  <c r="J19" i="25"/>
  <c r="I19" i="25"/>
  <c r="H19" i="25"/>
  <c r="G19" i="25"/>
  <c r="F19" i="25"/>
  <c r="E19" i="25"/>
  <c r="D19" i="25"/>
  <c r="C19" i="25"/>
  <c r="I18" i="25"/>
  <c r="H18" i="25"/>
  <c r="G18" i="25"/>
  <c r="F18" i="25"/>
  <c r="E18" i="25"/>
  <c r="D18" i="25"/>
  <c r="C18" i="25"/>
  <c r="J17" i="25"/>
  <c r="K17" i="25" s="1"/>
  <c r="F17" i="25"/>
  <c r="K16" i="25"/>
  <c r="K18" i="25" s="1"/>
  <c r="J16" i="25"/>
  <c r="J18" i="25" s="1"/>
  <c r="F16" i="25"/>
  <c r="I15" i="25"/>
  <c r="H15" i="25"/>
  <c r="F15" i="25"/>
  <c r="E15" i="25"/>
  <c r="D15" i="25"/>
  <c r="C15" i="25"/>
  <c r="G14" i="25"/>
  <c r="F14" i="25"/>
  <c r="I13" i="25"/>
  <c r="H13" i="25"/>
  <c r="E13" i="25"/>
  <c r="D13" i="25"/>
  <c r="C13" i="25"/>
  <c r="G12" i="25"/>
  <c r="J12" i="25" s="1"/>
  <c r="F12" i="25"/>
  <c r="F13" i="25" s="1"/>
  <c r="I11" i="25"/>
  <c r="E11" i="25"/>
  <c r="D11" i="25"/>
  <c r="C11" i="25"/>
  <c r="H10" i="25"/>
  <c r="F10" i="25"/>
  <c r="D10" i="25"/>
  <c r="G9" i="25"/>
  <c r="J9" i="25" s="1"/>
  <c r="K9" i="25" s="1"/>
  <c r="F9" i="25"/>
  <c r="G8" i="25"/>
  <c r="F8" i="25"/>
  <c r="G7" i="25"/>
  <c r="J7" i="25" s="1"/>
  <c r="F7" i="25"/>
  <c r="F11" i="25" s="1"/>
  <c r="I6" i="25"/>
  <c r="E6" i="25"/>
  <c r="D6" i="25"/>
  <c r="C6" i="25"/>
  <c r="H5" i="25"/>
  <c r="H6" i="25" s="1"/>
  <c r="F5" i="25"/>
  <c r="G4" i="25"/>
  <c r="F4" i="25"/>
  <c r="G3" i="25"/>
  <c r="J3" i="25" s="1"/>
  <c r="K3" i="25" s="1"/>
  <c r="F3" i="25"/>
  <c r="F6" i="25" s="1"/>
  <c r="K11" i="24"/>
  <c r="E11" i="24"/>
  <c r="D11" i="24"/>
  <c r="K10" i="24"/>
  <c r="G10" i="24"/>
  <c r="G11" i="24" s="1"/>
  <c r="F10" i="24"/>
  <c r="F11" i="24" s="1"/>
  <c r="D10" i="24"/>
  <c r="C10" i="24"/>
  <c r="C11" i="24" s="1"/>
  <c r="J9" i="24"/>
  <c r="J10" i="24" s="1"/>
  <c r="J11" i="24" s="1"/>
  <c r="F9" i="24"/>
  <c r="H9" i="24" s="1"/>
  <c r="I8" i="24"/>
  <c r="L8" i="24" s="1"/>
  <c r="M8" i="24" s="1"/>
  <c r="H8" i="24"/>
  <c r="I7" i="24"/>
  <c r="L7" i="24" s="1"/>
  <c r="M7" i="24" s="1"/>
  <c r="H7" i="24"/>
  <c r="I6" i="24"/>
  <c r="L6" i="24" s="1"/>
  <c r="M6" i="24" s="1"/>
  <c r="H6" i="24"/>
  <c r="I5" i="24"/>
  <c r="L5" i="24" s="1"/>
  <c r="M5" i="24" s="1"/>
  <c r="H5" i="24"/>
  <c r="I4" i="24"/>
  <c r="L4" i="24" s="1"/>
  <c r="M4" i="24" s="1"/>
  <c r="H4" i="24"/>
  <c r="I3" i="24"/>
  <c r="L3" i="24" s="1"/>
  <c r="M3" i="24" s="1"/>
  <c r="H3" i="24"/>
  <c r="H10" i="24" s="1"/>
  <c r="H11" i="24" s="1"/>
  <c r="F5" i="23"/>
  <c r="E5" i="23"/>
  <c r="D5" i="23"/>
  <c r="C5" i="23"/>
  <c r="G4" i="23"/>
  <c r="J4" i="23" s="1"/>
  <c r="K4" i="23" s="1"/>
  <c r="F4" i="23"/>
  <c r="H3" i="23"/>
  <c r="H5" i="23" s="1"/>
  <c r="J60" i="10" s="1"/>
  <c r="G3" i="23"/>
  <c r="F3" i="23"/>
  <c r="K13" i="22"/>
  <c r="G13" i="22"/>
  <c r="C13" i="22"/>
  <c r="J12" i="22"/>
  <c r="I12" i="22"/>
  <c r="F12" i="22"/>
  <c r="H12" i="22" s="1"/>
  <c r="J11" i="22"/>
  <c r="F11" i="22"/>
  <c r="H11" i="22" s="1"/>
  <c r="I10" i="22"/>
  <c r="L10" i="22" s="1"/>
  <c r="M10" i="22" s="1"/>
  <c r="H10" i="22"/>
  <c r="I9" i="22"/>
  <c r="L9" i="22" s="1"/>
  <c r="M9" i="22" s="1"/>
  <c r="H9" i="22"/>
  <c r="H8" i="22"/>
  <c r="M8" i="22" s="1"/>
  <c r="I7" i="22"/>
  <c r="L7" i="22" s="1"/>
  <c r="H7" i="22"/>
  <c r="I6" i="22"/>
  <c r="L6" i="22" s="1"/>
  <c r="M6" i="22" s="1"/>
  <c r="H6" i="22"/>
  <c r="I5" i="22"/>
  <c r="L5" i="22" s="1"/>
  <c r="M5" i="22" s="1"/>
  <c r="H5" i="22"/>
  <c r="I4" i="22"/>
  <c r="L4" i="22" s="1"/>
  <c r="M4" i="22" s="1"/>
  <c r="H4" i="22"/>
  <c r="H3" i="22"/>
  <c r="K13" i="21"/>
  <c r="G13" i="21"/>
  <c r="F13" i="21"/>
  <c r="D13" i="21"/>
  <c r="C13" i="21"/>
  <c r="J12" i="21"/>
  <c r="F12" i="21"/>
  <c r="H12" i="21" s="1"/>
  <c r="J11" i="21"/>
  <c r="L11" i="21" s="1"/>
  <c r="M11" i="21" s="1"/>
  <c r="F11" i="21"/>
  <c r="H11" i="21" s="1"/>
  <c r="I10" i="21"/>
  <c r="L10" i="21" s="1"/>
  <c r="M10" i="21" s="1"/>
  <c r="H10" i="21"/>
  <c r="I9" i="21"/>
  <c r="L9" i="21" s="1"/>
  <c r="M9" i="21" s="1"/>
  <c r="H9" i="21"/>
  <c r="I8" i="21"/>
  <c r="L8" i="21" s="1"/>
  <c r="M8" i="21" s="1"/>
  <c r="H8" i="21"/>
  <c r="I7" i="21"/>
  <c r="L7" i="21" s="1"/>
  <c r="M7" i="21" s="1"/>
  <c r="H7" i="21"/>
  <c r="I6" i="21"/>
  <c r="L6" i="21" s="1"/>
  <c r="M6" i="21" s="1"/>
  <c r="H6" i="21"/>
  <c r="I5" i="21"/>
  <c r="L5" i="21" s="1"/>
  <c r="M5" i="21" s="1"/>
  <c r="H5" i="21"/>
  <c r="I4" i="21"/>
  <c r="L4" i="21" s="1"/>
  <c r="H4" i="21"/>
  <c r="I3" i="21"/>
  <c r="L3" i="21" s="1"/>
  <c r="H3" i="21"/>
  <c r="H13" i="21" s="1"/>
  <c r="E52" i="20"/>
  <c r="K51" i="20"/>
  <c r="G51" i="20"/>
  <c r="G38" i="10" s="1"/>
  <c r="D51" i="20"/>
  <c r="C51" i="20"/>
  <c r="J50" i="20"/>
  <c r="I50" i="20"/>
  <c r="F50" i="20"/>
  <c r="H50" i="20" s="1"/>
  <c r="J49" i="20"/>
  <c r="I49" i="20"/>
  <c r="F49" i="20"/>
  <c r="H49" i="20" s="1"/>
  <c r="J48" i="20"/>
  <c r="I48" i="20"/>
  <c r="H48" i="20"/>
  <c r="J47" i="20"/>
  <c r="I47" i="20"/>
  <c r="H47" i="20"/>
  <c r="L46" i="20"/>
  <c r="M46" i="20" s="1"/>
  <c r="H46" i="20"/>
  <c r="J45" i="20"/>
  <c r="I45" i="20"/>
  <c r="H45" i="20"/>
  <c r="K44" i="20"/>
  <c r="G44" i="20"/>
  <c r="D44" i="20"/>
  <c r="C44" i="20"/>
  <c r="C37" i="10" s="1"/>
  <c r="J43" i="20"/>
  <c r="I43" i="20"/>
  <c r="F43" i="20"/>
  <c r="H43" i="20" s="1"/>
  <c r="J42" i="20"/>
  <c r="I42" i="20"/>
  <c r="F42" i="20"/>
  <c r="J41" i="20"/>
  <c r="I41" i="20"/>
  <c r="H41" i="20"/>
  <c r="J40" i="20"/>
  <c r="I40" i="20"/>
  <c r="H40" i="20"/>
  <c r="K39" i="20"/>
  <c r="D39" i="20"/>
  <c r="C39" i="20"/>
  <c r="J38" i="20"/>
  <c r="L38" i="20" s="1"/>
  <c r="F38" i="20"/>
  <c r="H38" i="20" s="1"/>
  <c r="J37" i="20"/>
  <c r="F37" i="20"/>
  <c r="H37" i="20" s="1"/>
  <c r="I36" i="20"/>
  <c r="H36" i="20"/>
  <c r="I35" i="20"/>
  <c r="L35" i="20" s="1"/>
  <c r="H35" i="20"/>
  <c r="K34" i="20"/>
  <c r="K36" i="10" s="1"/>
  <c r="G34" i="20"/>
  <c r="G36" i="10" s="1"/>
  <c r="D34" i="20"/>
  <c r="C34" i="20"/>
  <c r="J33" i="20"/>
  <c r="I33" i="20"/>
  <c r="F33" i="20"/>
  <c r="H33" i="20" s="1"/>
  <c r="J32" i="20"/>
  <c r="I32" i="20"/>
  <c r="F32" i="20"/>
  <c r="J31" i="20"/>
  <c r="I31" i="20"/>
  <c r="H31" i="20"/>
  <c r="J30" i="20"/>
  <c r="I30" i="20"/>
  <c r="H30" i="20"/>
  <c r="K29" i="20"/>
  <c r="G29" i="20"/>
  <c r="G34" i="10" s="1"/>
  <c r="D29" i="20"/>
  <c r="C29" i="20"/>
  <c r="J28" i="20"/>
  <c r="I28" i="20"/>
  <c r="F28" i="20"/>
  <c r="H28" i="20" s="1"/>
  <c r="J27" i="20"/>
  <c r="I27" i="20"/>
  <c r="F27" i="20"/>
  <c r="J26" i="20"/>
  <c r="I26" i="20"/>
  <c r="H26" i="20"/>
  <c r="J25" i="20"/>
  <c r="I25" i="20"/>
  <c r="H25" i="20"/>
  <c r="J24" i="20"/>
  <c r="I24" i="20"/>
  <c r="H24" i="20"/>
  <c r="K23" i="20"/>
  <c r="G23" i="20"/>
  <c r="D23" i="20"/>
  <c r="C23" i="20"/>
  <c r="C33" i="10" s="1"/>
  <c r="J22" i="20"/>
  <c r="I22" i="20"/>
  <c r="F22" i="20"/>
  <c r="H22" i="20" s="1"/>
  <c r="J21" i="20"/>
  <c r="I21" i="20"/>
  <c r="F21" i="20"/>
  <c r="H21" i="20" s="1"/>
  <c r="J20" i="20"/>
  <c r="I20" i="20"/>
  <c r="H20" i="20"/>
  <c r="J19" i="20"/>
  <c r="I19" i="20"/>
  <c r="H19" i="20"/>
  <c r="K18" i="20"/>
  <c r="G18" i="20"/>
  <c r="G32" i="10" s="1"/>
  <c r="D18" i="20"/>
  <c r="C18" i="20"/>
  <c r="I17" i="20"/>
  <c r="F17" i="20"/>
  <c r="H17" i="20" s="1"/>
  <c r="I16" i="20"/>
  <c r="F16" i="20"/>
  <c r="H16" i="20" s="1"/>
  <c r="J15" i="20"/>
  <c r="H15" i="20"/>
  <c r="K14" i="20"/>
  <c r="K31" i="10" s="1"/>
  <c r="G14" i="20"/>
  <c r="D14" i="20"/>
  <c r="D31" i="10" s="1"/>
  <c r="C14" i="20"/>
  <c r="F13" i="20"/>
  <c r="H13" i="20" s="1"/>
  <c r="H12" i="20"/>
  <c r="H14" i="20" s="1"/>
  <c r="F12" i="20"/>
  <c r="H11" i="20"/>
  <c r="K10" i="20"/>
  <c r="K30" i="10" s="1"/>
  <c r="G10" i="20"/>
  <c r="G30" i="10" s="1"/>
  <c r="D10" i="20"/>
  <c r="D30" i="10" s="1"/>
  <c r="C10" i="20"/>
  <c r="C30" i="10" s="1"/>
  <c r="J9" i="20"/>
  <c r="I9" i="20"/>
  <c r="F9" i="20"/>
  <c r="H9" i="20" s="1"/>
  <c r="J8" i="20"/>
  <c r="I8" i="20"/>
  <c r="F8" i="20"/>
  <c r="H8" i="20" s="1"/>
  <c r="J7" i="20"/>
  <c r="I7" i="20"/>
  <c r="H7" i="20"/>
  <c r="K6" i="20"/>
  <c r="G6" i="20"/>
  <c r="G29" i="10" s="1"/>
  <c r="D6" i="20"/>
  <c r="C6" i="20"/>
  <c r="C29" i="10" s="1"/>
  <c r="J5" i="20"/>
  <c r="L5" i="20" s="1"/>
  <c r="F5" i="20"/>
  <c r="H5" i="20" s="1"/>
  <c r="J4" i="20"/>
  <c r="I4" i="20"/>
  <c r="H4" i="20"/>
  <c r="J3" i="20"/>
  <c r="H3" i="20"/>
  <c r="D19" i="19"/>
  <c r="K18" i="19"/>
  <c r="J18" i="19"/>
  <c r="G18" i="19"/>
  <c r="G19" i="19" s="1"/>
  <c r="E18" i="19"/>
  <c r="E19" i="19" s="1"/>
  <c r="D18" i="19"/>
  <c r="C18" i="19"/>
  <c r="C19" i="19" s="1"/>
  <c r="J17" i="19"/>
  <c r="I17" i="19"/>
  <c r="F17" i="19"/>
  <c r="H17" i="19" s="1"/>
  <c r="J16" i="19"/>
  <c r="I16" i="19"/>
  <c r="F16" i="19"/>
  <c r="J15" i="19"/>
  <c r="I15" i="19"/>
  <c r="H15" i="19"/>
  <c r="I14" i="19"/>
  <c r="L14" i="19" s="1"/>
  <c r="H14" i="19"/>
  <c r="K13" i="19"/>
  <c r="G13" i="19"/>
  <c r="F13" i="19"/>
  <c r="D13" i="19"/>
  <c r="C13" i="19"/>
  <c r="J12" i="19"/>
  <c r="I12" i="19"/>
  <c r="F12" i="19"/>
  <c r="H12" i="19" s="1"/>
  <c r="J11" i="19"/>
  <c r="I11" i="19"/>
  <c r="F11" i="19"/>
  <c r="H11" i="19" s="1"/>
  <c r="J10" i="19"/>
  <c r="I10" i="19"/>
  <c r="H10" i="19"/>
  <c r="J9" i="19"/>
  <c r="I9" i="19"/>
  <c r="F9" i="19"/>
  <c r="H9" i="19" s="1"/>
  <c r="H13" i="19" s="1"/>
  <c r="K8" i="19"/>
  <c r="K47" i="10" s="1"/>
  <c r="G8" i="19"/>
  <c r="D8" i="19"/>
  <c r="C8" i="19"/>
  <c r="J7" i="19"/>
  <c r="L7" i="19" s="1"/>
  <c r="F7" i="19"/>
  <c r="J6" i="19"/>
  <c r="L6" i="19" s="1"/>
  <c r="M6" i="19" s="1"/>
  <c r="H6" i="19"/>
  <c r="F6" i="19"/>
  <c r="J5" i="19"/>
  <c r="I5" i="19"/>
  <c r="H5" i="19"/>
  <c r="J4" i="19"/>
  <c r="I4" i="19"/>
  <c r="H4" i="19"/>
  <c r="J3" i="19"/>
  <c r="I3" i="19"/>
  <c r="H3" i="19"/>
  <c r="L76" i="18"/>
  <c r="H76" i="18"/>
  <c r="E76" i="18"/>
  <c r="D76" i="18"/>
  <c r="K75" i="18"/>
  <c r="G75" i="18"/>
  <c r="I75" i="18" s="1"/>
  <c r="K74" i="18"/>
  <c r="J74" i="18"/>
  <c r="G74" i="18"/>
  <c r="I74" i="18" s="1"/>
  <c r="J73" i="18"/>
  <c r="M73" i="18" s="1"/>
  <c r="N73" i="18" s="1"/>
  <c r="G73" i="18"/>
  <c r="I73" i="18" s="1"/>
  <c r="J72" i="18"/>
  <c r="M72" i="18" s="1"/>
  <c r="N72" i="18" s="1"/>
  <c r="G72" i="18"/>
  <c r="I72" i="18" s="1"/>
  <c r="J71" i="18"/>
  <c r="M71" i="18" s="1"/>
  <c r="I71" i="18"/>
  <c r="J70" i="18"/>
  <c r="M70" i="18" s="1"/>
  <c r="G70" i="18"/>
  <c r="I70" i="18" s="1"/>
  <c r="J69" i="18"/>
  <c r="M69" i="18" s="1"/>
  <c r="I69" i="18"/>
  <c r="G69" i="18"/>
  <c r="G76" i="18" s="1"/>
  <c r="E59" i="18"/>
  <c r="K58" i="18"/>
  <c r="G58" i="18"/>
  <c r="F58" i="18"/>
  <c r="D58" i="18"/>
  <c r="C58" i="18"/>
  <c r="C59" i="18" s="1"/>
  <c r="J57" i="18"/>
  <c r="L57" i="18" s="1"/>
  <c r="M57" i="18" s="1"/>
  <c r="F57" i="18"/>
  <c r="H57" i="18" s="1"/>
  <c r="J56" i="18"/>
  <c r="F56" i="18"/>
  <c r="H56" i="18" s="1"/>
  <c r="I55" i="18"/>
  <c r="L55" i="18" s="1"/>
  <c r="M55" i="18" s="1"/>
  <c r="H55" i="18"/>
  <c r="I54" i="18"/>
  <c r="L54" i="18" s="1"/>
  <c r="H54" i="18"/>
  <c r="I53" i="18"/>
  <c r="H53" i="18"/>
  <c r="I52" i="18"/>
  <c r="L52" i="18" s="1"/>
  <c r="H52" i="18"/>
  <c r="K51" i="18"/>
  <c r="G51" i="18"/>
  <c r="D51" i="18"/>
  <c r="C51" i="18"/>
  <c r="J50" i="18"/>
  <c r="L50" i="18" s="1"/>
  <c r="H50" i="18"/>
  <c r="F50" i="18"/>
  <c r="J49" i="18"/>
  <c r="F49" i="18"/>
  <c r="H49" i="18" s="1"/>
  <c r="I48" i="18"/>
  <c r="L48" i="18" s="1"/>
  <c r="M48" i="18" s="1"/>
  <c r="H48" i="18"/>
  <c r="F48" i="18"/>
  <c r="F51" i="18" s="1"/>
  <c r="I47" i="18"/>
  <c r="L47" i="18" s="1"/>
  <c r="M47" i="18" s="1"/>
  <c r="H47" i="18"/>
  <c r="I46" i="18"/>
  <c r="L46" i="18" s="1"/>
  <c r="M46" i="18" s="1"/>
  <c r="H46" i="18"/>
  <c r="I45" i="18"/>
  <c r="L45" i="18" s="1"/>
  <c r="M45" i="18" s="1"/>
  <c r="H45" i="18"/>
  <c r="I44" i="18"/>
  <c r="L44" i="18" s="1"/>
  <c r="H44" i="18"/>
  <c r="H51" i="18" s="1"/>
  <c r="K43" i="18"/>
  <c r="G43" i="18"/>
  <c r="F43" i="18"/>
  <c r="D43" i="18"/>
  <c r="C43" i="18"/>
  <c r="J42" i="18"/>
  <c r="L42" i="18" s="1"/>
  <c r="F42" i="18"/>
  <c r="H42" i="18" s="1"/>
  <c r="J41" i="18"/>
  <c r="I41" i="18"/>
  <c r="F41" i="18"/>
  <c r="H41" i="18" s="1"/>
  <c r="I40" i="18"/>
  <c r="L40" i="18" s="1"/>
  <c r="M40" i="18" s="1"/>
  <c r="H40" i="18"/>
  <c r="I39" i="18"/>
  <c r="L39" i="18" s="1"/>
  <c r="H39" i="18"/>
  <c r="I38" i="18"/>
  <c r="L38" i="18" s="1"/>
  <c r="F38" i="18"/>
  <c r="H38" i="18" s="1"/>
  <c r="K37" i="18"/>
  <c r="D37" i="18"/>
  <c r="C37" i="18"/>
  <c r="J36" i="18"/>
  <c r="L36" i="18" s="1"/>
  <c r="M36" i="18" s="1"/>
  <c r="H36" i="18"/>
  <c r="F36" i="18"/>
  <c r="J35" i="18"/>
  <c r="L35" i="18" s="1"/>
  <c r="F35" i="18"/>
  <c r="I34" i="18"/>
  <c r="L34" i="18" s="1"/>
  <c r="H34" i="18"/>
  <c r="K33" i="18"/>
  <c r="G33" i="18"/>
  <c r="G59" i="18" s="1"/>
  <c r="D33" i="18"/>
  <c r="C33" i="18"/>
  <c r="M32" i="18"/>
  <c r="F32" i="18"/>
  <c r="H32" i="18" s="1"/>
  <c r="I31" i="18"/>
  <c r="L31" i="18" s="1"/>
  <c r="F31" i="18"/>
  <c r="H31" i="18" s="1"/>
  <c r="I30" i="18"/>
  <c r="L30" i="18" s="1"/>
  <c r="H30" i="18"/>
  <c r="I29" i="18"/>
  <c r="H29" i="18"/>
  <c r="M28" i="18"/>
  <c r="H28" i="18"/>
  <c r="I27" i="18"/>
  <c r="L27" i="18" s="1"/>
  <c r="H27" i="18"/>
  <c r="H33" i="18" s="1"/>
  <c r="F27" i="18"/>
  <c r="K26" i="18"/>
  <c r="G26" i="18"/>
  <c r="D26" i="18"/>
  <c r="C26" i="18"/>
  <c r="J25" i="18"/>
  <c r="L25" i="18" s="1"/>
  <c r="M25" i="18" s="1"/>
  <c r="F25" i="18"/>
  <c r="H25" i="18" s="1"/>
  <c r="J24" i="18"/>
  <c r="H24" i="18"/>
  <c r="F24" i="18"/>
  <c r="I23" i="18"/>
  <c r="L23" i="18" s="1"/>
  <c r="M23" i="18" s="1"/>
  <c r="H23" i="18"/>
  <c r="I22" i="18"/>
  <c r="L22" i="18" s="1"/>
  <c r="H22" i="18"/>
  <c r="I21" i="18"/>
  <c r="L21" i="18" s="1"/>
  <c r="M21" i="18" s="1"/>
  <c r="H21" i="18"/>
  <c r="I20" i="18"/>
  <c r="L20" i="18" s="1"/>
  <c r="M20" i="18" s="1"/>
  <c r="H20" i="18"/>
  <c r="F20" i="18"/>
  <c r="I19" i="18"/>
  <c r="F19" i="18"/>
  <c r="K18" i="18"/>
  <c r="F18" i="18"/>
  <c r="D18" i="18"/>
  <c r="C18" i="18"/>
  <c r="F17" i="18"/>
  <c r="H17" i="18" s="1"/>
  <c r="H16" i="18"/>
  <c r="F16" i="18"/>
  <c r="I15" i="18"/>
  <c r="L15" i="18" s="1"/>
  <c r="M15" i="18" s="1"/>
  <c r="H15" i="18"/>
  <c r="L14" i="18"/>
  <c r="M14" i="18" s="1"/>
  <c r="H14" i="18"/>
  <c r="L13" i="18"/>
  <c r="M13" i="18" s="1"/>
  <c r="H13" i="18"/>
  <c r="H18" i="18" s="1"/>
  <c r="H12" i="18"/>
  <c r="K11" i="18"/>
  <c r="G11" i="18"/>
  <c r="D11" i="18"/>
  <c r="C11" i="18"/>
  <c r="F10" i="18"/>
  <c r="H10" i="18" s="1"/>
  <c r="I9" i="18"/>
  <c r="F9" i="18"/>
  <c r="H9" i="18" s="1"/>
  <c r="I8" i="18"/>
  <c r="L8" i="18" s="1"/>
  <c r="F8" i="18"/>
  <c r="H8" i="18" s="1"/>
  <c r="H7" i="18"/>
  <c r="M6" i="18"/>
  <c r="H6" i="18"/>
  <c r="M5" i="18"/>
  <c r="H5" i="18"/>
  <c r="M4" i="18"/>
  <c r="H4" i="18"/>
  <c r="F3" i="18"/>
  <c r="E29" i="17"/>
  <c r="K28" i="17"/>
  <c r="G28" i="17"/>
  <c r="D28" i="17"/>
  <c r="C28" i="17"/>
  <c r="J27" i="17"/>
  <c r="I27" i="17"/>
  <c r="F27" i="17"/>
  <c r="H27" i="17" s="1"/>
  <c r="J26" i="17"/>
  <c r="F26" i="17"/>
  <c r="M25" i="17"/>
  <c r="L25" i="17"/>
  <c r="H25" i="17"/>
  <c r="L24" i="17"/>
  <c r="M24" i="17" s="1"/>
  <c r="H24" i="17"/>
  <c r="L23" i="17"/>
  <c r="M23" i="17" s="1"/>
  <c r="H23" i="17"/>
  <c r="L22" i="17"/>
  <c r="M22" i="17" s="1"/>
  <c r="H22" i="17"/>
  <c r="I21" i="17"/>
  <c r="L21" i="17" s="1"/>
  <c r="H21" i="17"/>
  <c r="L20" i="17"/>
  <c r="H20" i="17"/>
  <c r="K19" i="17"/>
  <c r="G19" i="17"/>
  <c r="D19" i="17"/>
  <c r="C19" i="17"/>
  <c r="J18" i="17"/>
  <c r="I18" i="17"/>
  <c r="F18" i="17"/>
  <c r="H18" i="17" s="1"/>
  <c r="J17" i="17"/>
  <c r="H17" i="17"/>
  <c r="F17" i="17"/>
  <c r="L16" i="17"/>
  <c r="M16" i="17" s="1"/>
  <c r="H16" i="17"/>
  <c r="I15" i="17"/>
  <c r="H15" i="17"/>
  <c r="I14" i="17"/>
  <c r="L14" i="17" s="1"/>
  <c r="M14" i="17" s="1"/>
  <c r="H14" i="17"/>
  <c r="H19" i="17" s="1"/>
  <c r="K13" i="17"/>
  <c r="G13" i="17"/>
  <c r="D13" i="17"/>
  <c r="C13" i="17"/>
  <c r="J12" i="17"/>
  <c r="L12" i="17" s="1"/>
  <c r="F12" i="17"/>
  <c r="H12" i="17" s="1"/>
  <c r="J11" i="17"/>
  <c r="L11" i="17" s="1"/>
  <c r="F11" i="17"/>
  <c r="M10" i="17"/>
  <c r="I9" i="17"/>
  <c r="I13" i="17" s="1"/>
  <c r="I51" i="10" s="1"/>
  <c r="H9" i="17"/>
  <c r="K8" i="17"/>
  <c r="K29" i="17" s="1"/>
  <c r="G8" i="17"/>
  <c r="G29" i="17" s="1"/>
  <c r="F8" i="17"/>
  <c r="D8" i="17"/>
  <c r="D29" i="17" s="1"/>
  <c r="C8" i="17"/>
  <c r="C29" i="17" s="1"/>
  <c r="L7" i="17"/>
  <c r="F7" i="17"/>
  <c r="H7" i="17" s="1"/>
  <c r="L6" i="17"/>
  <c r="M6" i="17" s="1"/>
  <c r="H6" i="17"/>
  <c r="F6" i="17"/>
  <c r="H5" i="17"/>
  <c r="M5" i="17" s="1"/>
  <c r="H4" i="17"/>
  <c r="M4" i="17" s="1"/>
  <c r="H3" i="17"/>
  <c r="H8" i="17" s="1"/>
  <c r="E45" i="16"/>
  <c r="K44" i="16"/>
  <c r="G44" i="16"/>
  <c r="D44" i="16"/>
  <c r="C44" i="16"/>
  <c r="J43" i="16"/>
  <c r="I43" i="16"/>
  <c r="F43" i="16"/>
  <c r="H43" i="16" s="1"/>
  <c r="J42" i="16"/>
  <c r="I42" i="16"/>
  <c r="H42" i="16"/>
  <c r="K41" i="16"/>
  <c r="G41" i="16"/>
  <c r="D41" i="16"/>
  <c r="C41" i="16"/>
  <c r="J40" i="16"/>
  <c r="I40" i="16"/>
  <c r="H40" i="16"/>
  <c r="F40" i="16"/>
  <c r="F41" i="16" s="1"/>
  <c r="J39" i="16"/>
  <c r="I39" i="16"/>
  <c r="H39" i="16"/>
  <c r="H41" i="16" s="1"/>
  <c r="K38" i="16"/>
  <c r="G38" i="16"/>
  <c r="F38" i="16"/>
  <c r="D38" i="16"/>
  <c r="C38" i="16"/>
  <c r="J37" i="16"/>
  <c r="I37" i="16"/>
  <c r="F37" i="16"/>
  <c r="H37" i="16" s="1"/>
  <c r="J36" i="16"/>
  <c r="I36" i="16"/>
  <c r="F36" i="16"/>
  <c r="H36" i="16" s="1"/>
  <c r="I35" i="16"/>
  <c r="L35" i="16" s="1"/>
  <c r="M35" i="16" s="1"/>
  <c r="H35" i="16"/>
  <c r="J34" i="16"/>
  <c r="I34" i="16"/>
  <c r="H34" i="16"/>
  <c r="H38" i="16" s="1"/>
  <c r="J33" i="16"/>
  <c r="I33" i="16"/>
  <c r="H33" i="16"/>
  <c r="K32" i="16"/>
  <c r="G32" i="16"/>
  <c r="D32" i="16"/>
  <c r="C32" i="16"/>
  <c r="J31" i="16"/>
  <c r="I31" i="16"/>
  <c r="H31" i="16"/>
  <c r="F31" i="16"/>
  <c r="J30" i="16"/>
  <c r="I30" i="16"/>
  <c r="F30" i="16"/>
  <c r="J29" i="16"/>
  <c r="I29" i="16"/>
  <c r="H29" i="16"/>
  <c r="J28" i="16"/>
  <c r="I28" i="16"/>
  <c r="H28" i="16"/>
  <c r="K27" i="16"/>
  <c r="H27" i="16"/>
  <c r="G27" i="16"/>
  <c r="D27" i="16"/>
  <c r="C27" i="16"/>
  <c r="J26" i="16"/>
  <c r="I26" i="16"/>
  <c r="H26" i="16"/>
  <c r="F26" i="16"/>
  <c r="F27" i="16" s="1"/>
  <c r="J25" i="16"/>
  <c r="I25" i="16"/>
  <c r="H25" i="16"/>
  <c r="K24" i="16"/>
  <c r="G24" i="16"/>
  <c r="D24" i="16"/>
  <c r="D23" i="10" s="1"/>
  <c r="C24" i="16"/>
  <c r="J23" i="16"/>
  <c r="I23" i="16"/>
  <c r="H23" i="16"/>
  <c r="F23" i="16"/>
  <c r="J22" i="16"/>
  <c r="I22" i="16"/>
  <c r="F22" i="16"/>
  <c r="H22" i="16" s="1"/>
  <c r="J21" i="16"/>
  <c r="I21" i="16"/>
  <c r="H21" i="16"/>
  <c r="J20" i="16"/>
  <c r="I20" i="16"/>
  <c r="H20" i="16"/>
  <c r="K19" i="16"/>
  <c r="G19" i="16"/>
  <c r="D19" i="16"/>
  <c r="C19" i="16"/>
  <c r="J18" i="16"/>
  <c r="I18" i="16"/>
  <c r="H18" i="16"/>
  <c r="F18" i="16"/>
  <c r="J17" i="16"/>
  <c r="I17" i="16"/>
  <c r="F17" i="16"/>
  <c r="H17" i="16" s="1"/>
  <c r="J16" i="16"/>
  <c r="I16" i="16"/>
  <c r="H16" i="16"/>
  <c r="J15" i="16"/>
  <c r="I15" i="16"/>
  <c r="H15" i="16"/>
  <c r="J14" i="16"/>
  <c r="I14" i="16"/>
  <c r="H14" i="16"/>
  <c r="K13" i="16"/>
  <c r="G13" i="16"/>
  <c r="D13" i="16"/>
  <c r="C13" i="16"/>
  <c r="I12" i="16"/>
  <c r="F12" i="16"/>
  <c r="H12" i="16" s="1"/>
  <c r="I11" i="16"/>
  <c r="H11" i="16"/>
  <c r="F11" i="16"/>
  <c r="J10" i="16"/>
  <c r="I10" i="16"/>
  <c r="H10" i="16"/>
  <c r="J9" i="16"/>
  <c r="I9" i="16"/>
  <c r="H9" i="16"/>
  <c r="J8" i="16"/>
  <c r="H8" i="16"/>
  <c r="K7" i="16"/>
  <c r="K45" i="16" s="1"/>
  <c r="G7" i="16"/>
  <c r="G45" i="16" s="1"/>
  <c r="D7" i="16"/>
  <c r="C7" i="16"/>
  <c r="J6" i="16"/>
  <c r="I6" i="16"/>
  <c r="H6" i="16"/>
  <c r="F6" i="16"/>
  <c r="J5" i="16"/>
  <c r="I5" i="16"/>
  <c r="H5" i="16"/>
  <c r="H7" i="16" s="1"/>
  <c r="F5" i="16"/>
  <c r="F7" i="16" s="1"/>
  <c r="J4" i="16"/>
  <c r="I4" i="16"/>
  <c r="H4" i="16"/>
  <c r="J3" i="16"/>
  <c r="H3" i="16"/>
  <c r="G23" i="15"/>
  <c r="K22" i="15"/>
  <c r="G22" i="15"/>
  <c r="D22" i="15"/>
  <c r="C22" i="15"/>
  <c r="J21" i="15"/>
  <c r="I21" i="15"/>
  <c r="F21" i="15"/>
  <c r="H21" i="15" s="1"/>
  <c r="J20" i="15"/>
  <c r="I20" i="15"/>
  <c r="H20" i="15"/>
  <c r="K19" i="15"/>
  <c r="G19" i="15"/>
  <c r="F19" i="15"/>
  <c r="E19" i="15"/>
  <c r="D19" i="15"/>
  <c r="C19" i="15"/>
  <c r="L18" i="15"/>
  <c r="M18" i="15" s="1"/>
  <c r="H18" i="15"/>
  <c r="H19" i="15" s="1"/>
  <c r="J17" i="15"/>
  <c r="J19" i="15" s="1"/>
  <c r="J7" i="10" s="1"/>
  <c r="I17" i="15"/>
  <c r="I19" i="15" s="1"/>
  <c r="I7" i="10" s="1"/>
  <c r="H17" i="15"/>
  <c r="K16" i="15"/>
  <c r="G16" i="15"/>
  <c r="F16" i="15"/>
  <c r="E16" i="15"/>
  <c r="D16" i="15"/>
  <c r="C16" i="15"/>
  <c r="J15" i="15"/>
  <c r="I15" i="15"/>
  <c r="H15" i="15"/>
  <c r="J14" i="15"/>
  <c r="I14" i="15"/>
  <c r="H14" i="15"/>
  <c r="H16" i="15" s="1"/>
  <c r="K13" i="15"/>
  <c r="G13" i="15"/>
  <c r="F13" i="15"/>
  <c r="E13" i="15"/>
  <c r="D13" i="15"/>
  <c r="C13" i="15"/>
  <c r="J12" i="15"/>
  <c r="I12" i="15"/>
  <c r="H12" i="15"/>
  <c r="J11" i="15"/>
  <c r="I11" i="15"/>
  <c r="H11" i="15"/>
  <c r="H13" i="15" s="1"/>
  <c r="K10" i="15"/>
  <c r="J10" i="15"/>
  <c r="H10" i="15"/>
  <c r="G10" i="15"/>
  <c r="C10" i="15"/>
  <c r="J9" i="15"/>
  <c r="I9" i="15"/>
  <c r="H9" i="15"/>
  <c r="J8" i="15"/>
  <c r="I8" i="15"/>
  <c r="H8" i="15"/>
  <c r="I10" i="15"/>
  <c r="I4" i="10" s="1"/>
  <c r="L4" i="10" s="1"/>
  <c r="H7" i="15"/>
  <c r="K6" i="15"/>
  <c r="G6" i="15"/>
  <c r="E6" i="15"/>
  <c r="E23" i="15" s="1"/>
  <c r="D6" i="15"/>
  <c r="C6" i="15"/>
  <c r="J5" i="15"/>
  <c r="I5" i="15"/>
  <c r="H5" i="15"/>
  <c r="F5" i="15"/>
  <c r="F6" i="15" s="1"/>
  <c r="J4" i="15"/>
  <c r="I4" i="15"/>
  <c r="H4" i="15"/>
  <c r="F4" i="15"/>
  <c r="I3" i="15"/>
  <c r="H3" i="15"/>
  <c r="H6" i="15" s="1"/>
  <c r="E53" i="14"/>
  <c r="K52" i="14"/>
  <c r="G52" i="14"/>
  <c r="D52" i="14"/>
  <c r="C52" i="14"/>
  <c r="C19" i="10" s="1"/>
  <c r="J51" i="14"/>
  <c r="L51" i="14" s="1"/>
  <c r="H51" i="14"/>
  <c r="F51" i="14"/>
  <c r="J50" i="14"/>
  <c r="L50" i="14" s="1"/>
  <c r="H50" i="14"/>
  <c r="F50" i="14"/>
  <c r="F52" i="14" s="1"/>
  <c r="I49" i="14"/>
  <c r="L49" i="14" s="1"/>
  <c r="M49" i="14" s="1"/>
  <c r="H49" i="14"/>
  <c r="H52" i="14" s="1"/>
  <c r="I48" i="14"/>
  <c r="L48" i="14" s="1"/>
  <c r="M48" i="14" s="1"/>
  <c r="H48" i="14"/>
  <c r="K47" i="14"/>
  <c r="G47" i="14"/>
  <c r="F47" i="14"/>
  <c r="D47" i="14"/>
  <c r="D18" i="10" s="1"/>
  <c r="C47" i="14"/>
  <c r="J46" i="14"/>
  <c r="L46" i="14" s="1"/>
  <c r="H46" i="14"/>
  <c r="F46" i="14"/>
  <c r="J45" i="14"/>
  <c r="H45" i="14"/>
  <c r="F45" i="14"/>
  <c r="I47" i="14"/>
  <c r="I18" i="10" s="1"/>
  <c r="H44" i="14"/>
  <c r="K43" i="14"/>
  <c r="G43" i="14"/>
  <c r="G17" i="10" s="1"/>
  <c r="F43" i="14"/>
  <c r="F17" i="10" s="1"/>
  <c r="D43" i="14"/>
  <c r="C43" i="14"/>
  <c r="J42" i="14"/>
  <c r="I42" i="14"/>
  <c r="F42" i="14"/>
  <c r="H42" i="14" s="1"/>
  <c r="J41" i="14"/>
  <c r="I41" i="14"/>
  <c r="F41" i="14"/>
  <c r="H41" i="14" s="1"/>
  <c r="J40" i="14"/>
  <c r="I40" i="14"/>
  <c r="H40" i="14"/>
  <c r="J39" i="14"/>
  <c r="I39" i="14"/>
  <c r="H39" i="14"/>
  <c r="K38" i="14"/>
  <c r="G38" i="14"/>
  <c r="E38" i="14"/>
  <c r="D38" i="14"/>
  <c r="C38" i="14"/>
  <c r="J37" i="14"/>
  <c r="I37" i="14"/>
  <c r="H37" i="14"/>
  <c r="F37" i="14"/>
  <c r="J36" i="14"/>
  <c r="I36" i="14"/>
  <c r="F36" i="14"/>
  <c r="J35" i="14"/>
  <c r="H35" i="14"/>
  <c r="K34" i="14"/>
  <c r="G34" i="14"/>
  <c r="G15" i="10" s="1"/>
  <c r="F34" i="14"/>
  <c r="E34" i="14"/>
  <c r="D34" i="14"/>
  <c r="C34" i="14"/>
  <c r="J33" i="14"/>
  <c r="I33" i="14"/>
  <c r="H33" i="14"/>
  <c r="F33" i="14"/>
  <c r="J32" i="14"/>
  <c r="I32" i="14"/>
  <c r="F32" i="14"/>
  <c r="H32" i="14" s="1"/>
  <c r="J31" i="14"/>
  <c r="I31" i="14"/>
  <c r="H31" i="14"/>
  <c r="J30" i="14"/>
  <c r="I30" i="14"/>
  <c r="H30" i="14"/>
  <c r="K29" i="14"/>
  <c r="G29" i="14"/>
  <c r="G14" i="10" s="1"/>
  <c r="D29" i="14"/>
  <c r="C29" i="14"/>
  <c r="J28" i="14"/>
  <c r="I28" i="14"/>
  <c r="H28" i="14"/>
  <c r="F28" i="14"/>
  <c r="J27" i="14"/>
  <c r="I27" i="14"/>
  <c r="F27" i="14"/>
  <c r="I26" i="14"/>
  <c r="L26" i="14" s="1"/>
  <c r="H26" i="14"/>
  <c r="I25" i="14"/>
  <c r="H25" i="14"/>
  <c r="K24" i="14"/>
  <c r="G24" i="14"/>
  <c r="D24" i="14"/>
  <c r="C24" i="14"/>
  <c r="J23" i="14"/>
  <c r="H23" i="14"/>
  <c r="F23" i="14"/>
  <c r="J22" i="14"/>
  <c r="L22" i="14" s="1"/>
  <c r="F22" i="14"/>
  <c r="I21" i="14"/>
  <c r="I24" i="14" s="1"/>
  <c r="I13" i="10" s="1"/>
  <c r="H21" i="14"/>
  <c r="K20" i="14"/>
  <c r="G20" i="14"/>
  <c r="F20" i="14"/>
  <c r="D20" i="14"/>
  <c r="C20" i="14"/>
  <c r="L19" i="14"/>
  <c r="M19" i="14" s="1"/>
  <c r="H19" i="14"/>
  <c r="F19" i="14"/>
  <c r="F18" i="14"/>
  <c r="H18" i="14" s="1"/>
  <c r="I17" i="14"/>
  <c r="L17" i="14" s="1"/>
  <c r="H17" i="14"/>
  <c r="L16" i="14"/>
  <c r="H16" i="14"/>
  <c r="H20" i="14" s="1"/>
  <c r="K15" i="14"/>
  <c r="G15" i="14"/>
  <c r="F15" i="14"/>
  <c r="D15" i="14"/>
  <c r="C15" i="14"/>
  <c r="J14" i="14"/>
  <c r="I14" i="14"/>
  <c r="F14" i="14"/>
  <c r="H14" i="14" s="1"/>
  <c r="J13" i="14"/>
  <c r="I13" i="14"/>
  <c r="H13" i="14"/>
  <c r="F13" i="14"/>
  <c r="I12" i="14"/>
  <c r="L12" i="14" s="1"/>
  <c r="H12" i="14"/>
  <c r="K11" i="14"/>
  <c r="K53" i="14" s="1"/>
  <c r="H11" i="14"/>
  <c r="G11" i="14"/>
  <c r="D11" i="14"/>
  <c r="C11" i="14"/>
  <c r="C10" i="10" s="1"/>
  <c r="J10" i="14"/>
  <c r="I10" i="14"/>
  <c r="H10" i="14"/>
  <c r="F10" i="14"/>
  <c r="J9" i="14"/>
  <c r="H9" i="14"/>
  <c r="F9" i="14"/>
  <c r="F11" i="14" s="1"/>
  <c r="I8" i="14"/>
  <c r="L8" i="14" s="1"/>
  <c r="M8" i="14" s="1"/>
  <c r="H8" i="14"/>
  <c r="H7" i="14"/>
  <c r="K6" i="14"/>
  <c r="H6" i="14"/>
  <c r="G6" i="14"/>
  <c r="D6" i="14"/>
  <c r="D53" i="14" s="1"/>
  <c r="C6" i="14"/>
  <c r="C53" i="14" s="1"/>
  <c r="J5" i="14"/>
  <c r="L5" i="14" s="1"/>
  <c r="M5" i="14" s="1"/>
  <c r="H5" i="14"/>
  <c r="F5" i="14"/>
  <c r="F6" i="14" s="1"/>
  <c r="J4" i="14"/>
  <c r="L4" i="14" s="1"/>
  <c r="M4" i="14" s="1"/>
  <c r="H4" i="14"/>
  <c r="F4" i="14"/>
  <c r="I3" i="14"/>
  <c r="L3" i="14" s="1"/>
  <c r="H3" i="14"/>
  <c r="K51" i="13"/>
  <c r="G51" i="13"/>
  <c r="E51" i="13"/>
  <c r="D51" i="13"/>
  <c r="C51" i="13"/>
  <c r="J50" i="13"/>
  <c r="L50" i="13" s="1"/>
  <c r="M50" i="13" s="1"/>
  <c r="H50" i="13"/>
  <c r="F50" i="13"/>
  <c r="J49" i="13"/>
  <c r="I49" i="13"/>
  <c r="F49" i="13"/>
  <c r="H49" i="13" s="1"/>
  <c r="I48" i="13"/>
  <c r="L48" i="13" s="1"/>
  <c r="H48" i="13"/>
  <c r="F48" i="13"/>
  <c r="I47" i="13"/>
  <c r="H47" i="13"/>
  <c r="F47" i="13"/>
  <c r="K46" i="13"/>
  <c r="G46" i="13"/>
  <c r="E46" i="13"/>
  <c r="D46" i="13"/>
  <c r="C46" i="13"/>
  <c r="J45" i="13"/>
  <c r="L45" i="13" s="1"/>
  <c r="M45" i="13" s="1"/>
  <c r="H45" i="13"/>
  <c r="F45" i="13"/>
  <c r="J44" i="13"/>
  <c r="I44" i="13"/>
  <c r="F44" i="13"/>
  <c r="H44" i="13" s="1"/>
  <c r="I43" i="13"/>
  <c r="L43" i="13" s="1"/>
  <c r="H43" i="13"/>
  <c r="F43" i="13"/>
  <c r="I42" i="13"/>
  <c r="L42" i="13" s="1"/>
  <c r="M42" i="13" s="1"/>
  <c r="H42" i="13"/>
  <c r="F42" i="13"/>
  <c r="I41" i="13"/>
  <c r="L41" i="13" s="1"/>
  <c r="M41" i="13" s="1"/>
  <c r="H41" i="13"/>
  <c r="L40" i="13"/>
  <c r="M40" i="13" s="1"/>
  <c r="H40" i="13"/>
  <c r="I39" i="13"/>
  <c r="L39" i="13" s="1"/>
  <c r="H39" i="13"/>
  <c r="F39" i="13"/>
  <c r="I38" i="13"/>
  <c r="L38" i="13" s="1"/>
  <c r="F38" i="13"/>
  <c r="K37" i="13"/>
  <c r="G37" i="13"/>
  <c r="E37" i="13"/>
  <c r="D37" i="13"/>
  <c r="C37" i="13"/>
  <c r="J36" i="13"/>
  <c r="J37" i="13" s="1"/>
  <c r="I36" i="13"/>
  <c r="F36" i="13"/>
  <c r="H36" i="13" s="1"/>
  <c r="I35" i="13"/>
  <c r="L35" i="13" s="1"/>
  <c r="M35" i="13" s="1"/>
  <c r="F35" i="13"/>
  <c r="H35" i="13" s="1"/>
  <c r="I34" i="13"/>
  <c r="L34" i="13" s="1"/>
  <c r="M34" i="13" s="1"/>
  <c r="H34" i="13"/>
  <c r="F34" i="13"/>
  <c r="I33" i="13"/>
  <c r="H33" i="13"/>
  <c r="F33" i="13"/>
  <c r="K32" i="13"/>
  <c r="G32" i="13"/>
  <c r="D32" i="13"/>
  <c r="C32" i="13"/>
  <c r="J31" i="13"/>
  <c r="L31" i="13" s="1"/>
  <c r="M31" i="13" s="1"/>
  <c r="H31" i="13"/>
  <c r="F31" i="13"/>
  <c r="J30" i="13"/>
  <c r="I30" i="13"/>
  <c r="F30" i="13"/>
  <c r="I29" i="13"/>
  <c r="L29" i="13" s="1"/>
  <c r="M29" i="13" s="1"/>
  <c r="H29" i="13"/>
  <c r="I28" i="13"/>
  <c r="L28" i="13" s="1"/>
  <c r="H28" i="13"/>
  <c r="K27" i="13"/>
  <c r="G27" i="13"/>
  <c r="F27" i="13"/>
  <c r="D27" i="13"/>
  <c r="C27" i="13"/>
  <c r="J26" i="13"/>
  <c r="L26" i="13" s="1"/>
  <c r="M26" i="13" s="1"/>
  <c r="H26" i="13"/>
  <c r="F26" i="13"/>
  <c r="J25" i="13"/>
  <c r="F25" i="13"/>
  <c r="H25" i="13" s="1"/>
  <c r="I24" i="13"/>
  <c r="L24" i="13" s="1"/>
  <c r="H24" i="13"/>
  <c r="I23" i="13"/>
  <c r="L23" i="13" s="1"/>
  <c r="H23" i="13"/>
  <c r="H27" i="13" s="1"/>
  <c r="K22" i="13"/>
  <c r="G22" i="13"/>
  <c r="F22" i="13"/>
  <c r="E22" i="13"/>
  <c r="E52" i="13" s="1"/>
  <c r="D22" i="13"/>
  <c r="C22" i="13"/>
  <c r="J21" i="13"/>
  <c r="L21" i="13" s="1"/>
  <c r="M21" i="13" s="1"/>
  <c r="F21" i="13"/>
  <c r="H21" i="13" s="1"/>
  <c r="J20" i="13"/>
  <c r="I20" i="13"/>
  <c r="H20" i="13"/>
  <c r="F20" i="13"/>
  <c r="I19" i="13"/>
  <c r="L19" i="13" s="1"/>
  <c r="M19" i="13" s="1"/>
  <c r="H19" i="13"/>
  <c r="I18" i="13"/>
  <c r="H18" i="13"/>
  <c r="H22" i="13" s="1"/>
  <c r="K17" i="13"/>
  <c r="G17" i="13"/>
  <c r="D17" i="13"/>
  <c r="C17" i="13"/>
  <c r="J16" i="13"/>
  <c r="L16" i="13" s="1"/>
  <c r="M16" i="13" s="1"/>
  <c r="F16" i="13"/>
  <c r="H16" i="13" s="1"/>
  <c r="H17" i="13" s="1"/>
  <c r="J15" i="13"/>
  <c r="H15" i="13"/>
  <c r="F15" i="13"/>
  <c r="F17" i="13" s="1"/>
  <c r="I14" i="13"/>
  <c r="L14" i="13" s="1"/>
  <c r="M14" i="13" s="1"/>
  <c r="H14" i="13"/>
  <c r="I13" i="13"/>
  <c r="H13" i="13"/>
  <c r="K12" i="13"/>
  <c r="K52" i="13" s="1"/>
  <c r="I42" i="12" s="1"/>
  <c r="G12" i="13"/>
  <c r="G52" i="13" s="1"/>
  <c r="E42" i="12" s="1"/>
  <c r="D12" i="13"/>
  <c r="C12" i="13"/>
  <c r="J11" i="13"/>
  <c r="L11" i="13" s="1"/>
  <c r="H11" i="13"/>
  <c r="F11" i="13"/>
  <c r="F12" i="13" s="1"/>
  <c r="J10" i="13"/>
  <c r="H10" i="13"/>
  <c r="F10" i="13"/>
  <c r="I9" i="13"/>
  <c r="L9" i="13" s="1"/>
  <c r="M9" i="13" s="1"/>
  <c r="H9" i="13"/>
  <c r="F9" i="13"/>
  <c r="I8" i="13"/>
  <c r="L8" i="13" s="1"/>
  <c r="M8" i="13" s="1"/>
  <c r="H8" i="13"/>
  <c r="K7" i="13"/>
  <c r="D7" i="13"/>
  <c r="C7" i="13"/>
  <c r="L6" i="13"/>
  <c r="F6" i="13"/>
  <c r="H6" i="13" s="1"/>
  <c r="H5" i="13"/>
  <c r="F5" i="13"/>
  <c r="L4" i="13"/>
  <c r="M4" i="13" s="1"/>
  <c r="H4" i="13"/>
  <c r="I3" i="13"/>
  <c r="L3" i="13" s="1"/>
  <c r="H3" i="13"/>
  <c r="I41" i="12"/>
  <c r="E41" i="12"/>
  <c r="D41" i="12"/>
  <c r="C41" i="12"/>
  <c r="H40" i="12"/>
  <c r="G40" i="12"/>
  <c r="F40" i="12"/>
  <c r="H39" i="12"/>
  <c r="F39" i="12"/>
  <c r="H38" i="12"/>
  <c r="F38" i="12"/>
  <c r="H37" i="12"/>
  <c r="G37" i="12"/>
  <c r="F37" i="12"/>
  <c r="F36" i="12"/>
  <c r="J35" i="12"/>
  <c r="K35" i="12" s="1"/>
  <c r="F35" i="12"/>
  <c r="H34" i="12"/>
  <c r="G34" i="12"/>
  <c r="F34" i="12"/>
  <c r="H33" i="12"/>
  <c r="G33" i="12"/>
  <c r="F33" i="12"/>
  <c r="H32" i="12"/>
  <c r="G32" i="12"/>
  <c r="F32" i="12"/>
  <c r="H31" i="12"/>
  <c r="G31" i="12"/>
  <c r="F31" i="12"/>
  <c r="H30" i="12"/>
  <c r="F30" i="12"/>
  <c r="I29" i="12"/>
  <c r="I43" i="12" s="1"/>
  <c r="E29" i="12"/>
  <c r="E43" i="12" s="1"/>
  <c r="D29" i="12"/>
  <c r="C29" i="12"/>
  <c r="H28" i="12"/>
  <c r="G28" i="12"/>
  <c r="F28" i="12"/>
  <c r="H27" i="12"/>
  <c r="G27" i="12"/>
  <c r="F27" i="12"/>
  <c r="H26" i="12"/>
  <c r="G26" i="12"/>
  <c r="F26" i="12"/>
  <c r="J25" i="12"/>
  <c r="F25" i="12"/>
  <c r="G24" i="12"/>
  <c r="J24" i="12" s="1"/>
  <c r="K24" i="12" s="1"/>
  <c r="F24" i="12"/>
  <c r="H23" i="12"/>
  <c r="G23" i="12"/>
  <c r="F23" i="12"/>
  <c r="H22" i="12"/>
  <c r="G22" i="12"/>
  <c r="F22" i="12"/>
  <c r="H21" i="12"/>
  <c r="G21" i="12"/>
  <c r="F21" i="12"/>
  <c r="G20" i="12"/>
  <c r="J20" i="12" s="1"/>
  <c r="F20" i="12"/>
  <c r="H19" i="12"/>
  <c r="G19" i="12"/>
  <c r="F19" i="12"/>
  <c r="H18" i="12"/>
  <c r="G18" i="12"/>
  <c r="F18" i="12"/>
  <c r="H17" i="12"/>
  <c r="G17" i="12"/>
  <c r="F17" i="12"/>
  <c r="J16" i="12"/>
  <c r="K16" i="12" s="1"/>
  <c r="F16" i="12"/>
  <c r="J15" i="12"/>
  <c r="K15" i="12" s="1"/>
  <c r="F15" i="12"/>
  <c r="H14" i="12"/>
  <c r="F14" i="12"/>
  <c r="H13" i="12"/>
  <c r="J13" i="12" s="1"/>
  <c r="K13" i="12" s="1"/>
  <c r="F13" i="12"/>
  <c r="H12" i="12"/>
  <c r="G12" i="12"/>
  <c r="F12" i="12"/>
  <c r="H11" i="12"/>
  <c r="G11" i="12"/>
  <c r="F11" i="12"/>
  <c r="H10" i="12"/>
  <c r="F10" i="12"/>
  <c r="H9" i="12"/>
  <c r="G9" i="12"/>
  <c r="F9" i="12"/>
  <c r="H8" i="12"/>
  <c r="G8" i="12"/>
  <c r="F8" i="12"/>
  <c r="H7" i="12"/>
  <c r="G7" i="12"/>
  <c r="F7" i="12"/>
  <c r="H6" i="12"/>
  <c r="G6" i="12"/>
  <c r="F6" i="12"/>
  <c r="H5" i="12"/>
  <c r="G5" i="12"/>
  <c r="F5" i="12"/>
  <c r="J4" i="12"/>
  <c r="K4" i="12" s="1"/>
  <c r="F4" i="12"/>
  <c r="H3" i="12"/>
  <c r="G3" i="12"/>
  <c r="F3" i="12"/>
  <c r="H5" i="11"/>
  <c r="J5" i="11" s="1"/>
  <c r="K5" i="11" s="1"/>
  <c r="F5" i="11"/>
  <c r="K66" i="10"/>
  <c r="G66" i="10"/>
  <c r="K65" i="10"/>
  <c r="G65" i="10"/>
  <c r="F65" i="10"/>
  <c r="H65" i="10" s="1"/>
  <c r="C65" i="10"/>
  <c r="K64" i="10"/>
  <c r="G64" i="10"/>
  <c r="F64" i="10"/>
  <c r="H64" i="10" s="1"/>
  <c r="C64" i="10"/>
  <c r="K63" i="10"/>
  <c r="G63" i="10"/>
  <c r="E63" i="10"/>
  <c r="D63" i="10"/>
  <c r="C63" i="10"/>
  <c r="L62" i="10"/>
  <c r="M62" i="10" s="1"/>
  <c r="K62" i="10"/>
  <c r="I62" i="10"/>
  <c r="G62" i="10"/>
  <c r="F62" i="10"/>
  <c r="H62" i="10" s="1"/>
  <c r="C62" i="10"/>
  <c r="K61" i="10"/>
  <c r="G61" i="10"/>
  <c r="F61" i="10"/>
  <c r="E61" i="10"/>
  <c r="D61" i="10"/>
  <c r="C61" i="10"/>
  <c r="G60" i="10"/>
  <c r="F60" i="10"/>
  <c r="C60" i="10"/>
  <c r="K59" i="10"/>
  <c r="H59" i="10"/>
  <c r="G59" i="10"/>
  <c r="F59" i="10"/>
  <c r="E59" i="10"/>
  <c r="D59" i="10"/>
  <c r="C59" i="10"/>
  <c r="K58" i="10"/>
  <c r="G58" i="10"/>
  <c r="E58" i="10"/>
  <c r="D58" i="10"/>
  <c r="C58" i="10"/>
  <c r="K57" i="10"/>
  <c r="J57" i="10"/>
  <c r="G57" i="10"/>
  <c r="F57" i="10"/>
  <c r="H57" i="10" s="1"/>
  <c r="E57" i="10"/>
  <c r="D57" i="10"/>
  <c r="C57" i="10"/>
  <c r="K56" i="10"/>
  <c r="G56" i="10"/>
  <c r="E56" i="10"/>
  <c r="D56" i="10"/>
  <c r="C56" i="10"/>
  <c r="K55" i="10"/>
  <c r="J55" i="10"/>
  <c r="G55" i="10"/>
  <c r="F55" i="10"/>
  <c r="E55" i="10"/>
  <c r="D55" i="10"/>
  <c r="C55" i="10"/>
  <c r="K54" i="10"/>
  <c r="G54" i="10"/>
  <c r="F54" i="10"/>
  <c r="H54" i="10" s="1"/>
  <c r="E54" i="10"/>
  <c r="D54" i="10"/>
  <c r="C54" i="10"/>
  <c r="K53" i="10"/>
  <c r="G53" i="10"/>
  <c r="E53" i="10"/>
  <c r="D53" i="10"/>
  <c r="C53" i="10"/>
  <c r="K52" i="10"/>
  <c r="G52" i="10"/>
  <c r="E52" i="10"/>
  <c r="D52" i="10"/>
  <c r="C52" i="10"/>
  <c r="K51" i="10"/>
  <c r="G51" i="10"/>
  <c r="E51" i="10"/>
  <c r="D51" i="10"/>
  <c r="C51" i="10"/>
  <c r="K50" i="10"/>
  <c r="G50" i="10"/>
  <c r="F50" i="10"/>
  <c r="H50" i="10" s="1"/>
  <c r="E50" i="10"/>
  <c r="D50" i="10"/>
  <c r="C50" i="10"/>
  <c r="K49" i="10"/>
  <c r="J49" i="10"/>
  <c r="G49" i="10"/>
  <c r="E49" i="10"/>
  <c r="D49" i="10"/>
  <c r="C49" i="10"/>
  <c r="K48" i="10"/>
  <c r="H48" i="10"/>
  <c r="G48" i="10"/>
  <c r="F48" i="10"/>
  <c r="E48" i="10"/>
  <c r="D48" i="10"/>
  <c r="C48" i="10"/>
  <c r="G47" i="10"/>
  <c r="E47" i="10"/>
  <c r="D47" i="10"/>
  <c r="C47" i="10"/>
  <c r="K46" i="10"/>
  <c r="G46" i="10"/>
  <c r="F46" i="10"/>
  <c r="E46" i="10"/>
  <c r="D46" i="10"/>
  <c r="C46" i="10"/>
  <c r="K45" i="10"/>
  <c r="H45" i="10"/>
  <c r="G45" i="10"/>
  <c r="F45" i="10"/>
  <c r="E45" i="10"/>
  <c r="D45" i="10"/>
  <c r="C45" i="10"/>
  <c r="K44" i="10"/>
  <c r="G44" i="10"/>
  <c r="F44" i="10"/>
  <c r="E44" i="10"/>
  <c r="D44" i="10"/>
  <c r="C44" i="10"/>
  <c r="H44" i="10" s="1"/>
  <c r="K43" i="10"/>
  <c r="G43" i="10"/>
  <c r="E43" i="10"/>
  <c r="D43" i="10"/>
  <c r="C43" i="10"/>
  <c r="K42" i="10"/>
  <c r="G42" i="10"/>
  <c r="E42" i="10"/>
  <c r="D42" i="10"/>
  <c r="C42" i="10"/>
  <c r="K41" i="10"/>
  <c r="G41" i="10"/>
  <c r="E41" i="10"/>
  <c r="D41" i="10"/>
  <c r="C41" i="10"/>
  <c r="K40" i="10"/>
  <c r="G40" i="10"/>
  <c r="H40" i="10" s="1"/>
  <c r="F40" i="10"/>
  <c r="E40" i="10"/>
  <c r="D40" i="10"/>
  <c r="C40" i="10"/>
  <c r="K39" i="10"/>
  <c r="G39" i="10"/>
  <c r="D39" i="10"/>
  <c r="C39" i="10"/>
  <c r="K38" i="10"/>
  <c r="E38" i="10"/>
  <c r="D38" i="10"/>
  <c r="C38" i="10"/>
  <c r="K37" i="10"/>
  <c r="G37" i="10"/>
  <c r="E37" i="10"/>
  <c r="D37" i="10"/>
  <c r="E36" i="10"/>
  <c r="D36" i="10"/>
  <c r="C36" i="10"/>
  <c r="K35" i="10"/>
  <c r="G35" i="10"/>
  <c r="E35" i="10"/>
  <c r="D35" i="10"/>
  <c r="C35" i="10"/>
  <c r="K34" i="10"/>
  <c r="E34" i="10"/>
  <c r="D34" i="10"/>
  <c r="C34" i="10"/>
  <c r="K33" i="10"/>
  <c r="G33" i="10"/>
  <c r="E33" i="10"/>
  <c r="D33" i="10"/>
  <c r="K32" i="10"/>
  <c r="E32" i="10"/>
  <c r="D32" i="10"/>
  <c r="C32" i="10"/>
  <c r="G31" i="10"/>
  <c r="E31" i="10"/>
  <c r="C31" i="10"/>
  <c r="E30" i="10"/>
  <c r="K29" i="10"/>
  <c r="E29" i="10"/>
  <c r="D29" i="10"/>
  <c r="K28" i="10"/>
  <c r="G28" i="10"/>
  <c r="E28" i="10"/>
  <c r="D28" i="10"/>
  <c r="C28" i="10"/>
  <c r="K27" i="10"/>
  <c r="G27" i="10"/>
  <c r="F27" i="10"/>
  <c r="H27" i="10" s="1"/>
  <c r="E27" i="10"/>
  <c r="D27" i="10"/>
  <c r="C27" i="10"/>
  <c r="K26" i="10"/>
  <c r="H26" i="10"/>
  <c r="G26" i="10"/>
  <c r="F26" i="10"/>
  <c r="E26" i="10"/>
  <c r="D26" i="10"/>
  <c r="C26" i="10"/>
  <c r="K25" i="10"/>
  <c r="G25" i="10"/>
  <c r="E25" i="10"/>
  <c r="D25" i="10"/>
  <c r="C25" i="10"/>
  <c r="K24" i="10"/>
  <c r="G24" i="10"/>
  <c r="F24" i="10"/>
  <c r="H24" i="10" s="1"/>
  <c r="E24" i="10"/>
  <c r="D24" i="10"/>
  <c r="C24" i="10"/>
  <c r="K23" i="10"/>
  <c r="G23" i="10"/>
  <c r="E23" i="10"/>
  <c r="C23" i="10"/>
  <c r="K22" i="10"/>
  <c r="G22" i="10"/>
  <c r="E22" i="10"/>
  <c r="D22" i="10"/>
  <c r="C22" i="10"/>
  <c r="K21" i="10"/>
  <c r="G21" i="10"/>
  <c r="E21" i="10"/>
  <c r="D21" i="10"/>
  <c r="C21" i="10"/>
  <c r="K20" i="10"/>
  <c r="G20" i="10"/>
  <c r="F20" i="10"/>
  <c r="E20" i="10"/>
  <c r="D20" i="10"/>
  <c r="C20" i="10"/>
  <c r="K19" i="10"/>
  <c r="G19" i="10"/>
  <c r="F19" i="10"/>
  <c r="H19" i="10" s="1"/>
  <c r="E19" i="10"/>
  <c r="D19" i="10"/>
  <c r="K18" i="10"/>
  <c r="H18" i="10"/>
  <c r="G18" i="10"/>
  <c r="F18" i="10"/>
  <c r="E18" i="10"/>
  <c r="C18" i="10"/>
  <c r="K17" i="10"/>
  <c r="E17" i="10"/>
  <c r="D17" i="10"/>
  <c r="C17" i="10"/>
  <c r="H17" i="10" s="1"/>
  <c r="K16" i="10"/>
  <c r="G16" i="10"/>
  <c r="E16" i="10"/>
  <c r="D16" i="10"/>
  <c r="C16" i="10"/>
  <c r="K15" i="10"/>
  <c r="J15" i="10"/>
  <c r="F15" i="10"/>
  <c r="H15" i="10" s="1"/>
  <c r="E15" i="10"/>
  <c r="D15" i="10"/>
  <c r="C15" i="10"/>
  <c r="K14" i="10"/>
  <c r="E14" i="10"/>
  <c r="D14" i="10"/>
  <c r="C14" i="10"/>
  <c r="K13" i="10"/>
  <c r="G13" i="10"/>
  <c r="E13" i="10"/>
  <c r="D13" i="10"/>
  <c r="C13" i="10"/>
  <c r="K12" i="10"/>
  <c r="G12" i="10"/>
  <c r="E12" i="10"/>
  <c r="D12" i="10"/>
  <c r="C12" i="10"/>
  <c r="K11" i="10"/>
  <c r="G11" i="10"/>
  <c r="F11" i="10"/>
  <c r="H11" i="10" s="1"/>
  <c r="E11" i="10"/>
  <c r="D11" i="10"/>
  <c r="C11" i="10"/>
  <c r="K10" i="10"/>
  <c r="H10" i="10"/>
  <c r="G10" i="10"/>
  <c r="F10" i="10"/>
  <c r="E10" i="10"/>
  <c r="D10" i="10"/>
  <c r="K9" i="10"/>
  <c r="G9" i="10"/>
  <c r="F9" i="10"/>
  <c r="E9" i="10"/>
  <c r="D9" i="10"/>
  <c r="C9" i="10"/>
  <c r="H9" i="10" s="1"/>
  <c r="K8" i="10"/>
  <c r="G8" i="10"/>
  <c r="E8" i="10"/>
  <c r="D8" i="10"/>
  <c r="C8" i="10"/>
  <c r="K7" i="10"/>
  <c r="G7" i="10"/>
  <c r="F7" i="10"/>
  <c r="E7" i="10"/>
  <c r="D7" i="10"/>
  <c r="C7" i="10"/>
  <c r="K6" i="10"/>
  <c r="G6" i="10"/>
  <c r="F6" i="10"/>
  <c r="H6" i="10" s="1"/>
  <c r="E6" i="10"/>
  <c r="D6" i="10"/>
  <c r="C6" i="10"/>
  <c r="K5" i="10"/>
  <c r="G5" i="10"/>
  <c r="H5" i="10" s="1"/>
  <c r="F5" i="10"/>
  <c r="E5" i="10"/>
  <c r="D5" i="10"/>
  <c r="C5" i="10"/>
  <c r="K4" i="10"/>
  <c r="J4" i="10"/>
  <c r="G4" i="10"/>
  <c r="H4" i="10" s="1"/>
  <c r="F4" i="10"/>
  <c r="E4" i="10"/>
  <c r="D4" i="10"/>
  <c r="C4" i="10"/>
  <c r="K3" i="10"/>
  <c r="G3" i="10"/>
  <c r="F3" i="10"/>
  <c r="E3" i="10"/>
  <c r="C3" i="10"/>
  <c r="B800" i="8"/>
  <c r="B799" i="8"/>
  <c r="B798" i="8"/>
  <c r="B797" i="8"/>
  <c r="B796" i="8"/>
  <c r="B795" i="8"/>
  <c r="B794" i="8"/>
  <c r="B793" i="8"/>
  <c r="B792" i="8"/>
  <c r="B791" i="8"/>
  <c r="B790" i="8"/>
  <c r="B789" i="8"/>
  <c r="B788" i="8"/>
  <c r="B787" i="8"/>
  <c r="B786" i="8"/>
  <c r="B785" i="8"/>
  <c r="B784" i="8"/>
  <c r="B783" i="8"/>
  <c r="B782" i="8"/>
  <c r="B781" i="8"/>
  <c r="B780" i="8"/>
  <c r="B779" i="8"/>
  <c r="B778" i="8"/>
  <c r="B777" i="8"/>
  <c r="B776" i="8"/>
  <c r="B775" i="8"/>
  <c r="B774" i="8"/>
  <c r="B773" i="8"/>
  <c r="B772" i="8"/>
  <c r="B771" i="8"/>
  <c r="B770" i="8"/>
  <c r="B769" i="8"/>
  <c r="B768" i="8"/>
  <c r="B767" i="8"/>
  <c r="B766" i="8"/>
  <c r="B765" i="8"/>
  <c r="B764" i="8"/>
  <c r="B763" i="8"/>
  <c r="B762" i="8"/>
  <c r="B761" i="8"/>
  <c r="B760" i="8"/>
  <c r="B759" i="8"/>
  <c r="B758" i="8"/>
  <c r="B757" i="8"/>
  <c r="B756" i="8"/>
  <c r="B755" i="8"/>
  <c r="B754" i="8"/>
  <c r="B753" i="8"/>
  <c r="B752" i="8"/>
  <c r="B751" i="8"/>
  <c r="B750" i="8"/>
  <c r="B749" i="8"/>
  <c r="B748" i="8"/>
  <c r="B747" i="8"/>
  <c r="B746" i="8"/>
  <c r="B745" i="8"/>
  <c r="B744" i="8"/>
  <c r="B743" i="8"/>
  <c r="B742" i="8"/>
  <c r="B741" i="8"/>
  <c r="B740" i="8"/>
  <c r="B739" i="8"/>
  <c r="B738" i="8"/>
  <c r="B737" i="8"/>
  <c r="B736" i="8"/>
  <c r="B735" i="8"/>
  <c r="B734" i="8"/>
  <c r="B733" i="8"/>
  <c r="B732" i="8"/>
  <c r="B731" i="8"/>
  <c r="B730" i="8"/>
  <c r="B729" i="8"/>
  <c r="B728" i="8"/>
  <c r="B727" i="8"/>
  <c r="B726" i="8"/>
  <c r="B725" i="8"/>
  <c r="B724" i="8"/>
  <c r="B723" i="8"/>
  <c r="B722" i="8"/>
  <c r="B721" i="8"/>
  <c r="B720" i="8"/>
  <c r="B719" i="8"/>
  <c r="B718" i="8"/>
  <c r="B717" i="8"/>
  <c r="B716" i="8"/>
  <c r="B715" i="8"/>
  <c r="B714" i="8"/>
  <c r="B713" i="8"/>
  <c r="B712" i="8"/>
  <c r="B711" i="8"/>
  <c r="B710" i="8"/>
  <c r="B709" i="8"/>
  <c r="B708" i="8"/>
  <c r="B707" i="8"/>
  <c r="B706" i="8"/>
  <c r="B705" i="8"/>
  <c r="B704" i="8"/>
  <c r="B703" i="8"/>
  <c r="B702" i="8"/>
  <c r="B701" i="8"/>
  <c r="B700" i="8"/>
  <c r="B699" i="8"/>
  <c r="B698" i="8"/>
  <c r="B697" i="8"/>
  <c r="B696" i="8"/>
  <c r="B695" i="8"/>
  <c r="B694" i="8"/>
  <c r="B693" i="8"/>
  <c r="B692" i="8"/>
  <c r="B691" i="8"/>
  <c r="B690" i="8"/>
  <c r="B689" i="8"/>
  <c r="B688" i="8"/>
  <c r="B687" i="8"/>
  <c r="B686" i="8"/>
  <c r="B685" i="8"/>
  <c r="B684" i="8"/>
  <c r="B683" i="8"/>
  <c r="B682" i="8"/>
  <c r="B681" i="8"/>
  <c r="B680" i="8"/>
  <c r="B679" i="8"/>
  <c r="B678" i="8"/>
  <c r="B677" i="8"/>
  <c r="B676" i="8"/>
  <c r="B675" i="8"/>
  <c r="B674" i="8"/>
  <c r="B673" i="8"/>
  <c r="B672" i="8"/>
  <c r="B671" i="8"/>
  <c r="B670" i="8"/>
  <c r="B669" i="8"/>
  <c r="B668" i="8"/>
  <c r="B667" i="8"/>
  <c r="B666" i="8"/>
  <c r="B665" i="8"/>
  <c r="B664" i="8"/>
  <c r="B663" i="8"/>
  <c r="B662" i="8"/>
  <c r="B661" i="8"/>
  <c r="B660" i="8"/>
  <c r="B659" i="8"/>
  <c r="B658" i="8"/>
  <c r="B657" i="8"/>
  <c r="B656" i="8"/>
  <c r="B655" i="8"/>
  <c r="B654" i="8"/>
  <c r="B653" i="8"/>
  <c r="B652" i="8"/>
  <c r="B651" i="8"/>
  <c r="B650" i="8"/>
  <c r="B649" i="8"/>
  <c r="B648" i="8"/>
  <c r="B647" i="8"/>
  <c r="B646" i="8"/>
  <c r="B645" i="8"/>
  <c r="B644" i="8"/>
  <c r="B643" i="8"/>
  <c r="B642" i="8"/>
  <c r="B641" i="8"/>
  <c r="B640" i="8"/>
  <c r="B639" i="8"/>
  <c r="B638" i="8"/>
  <c r="B637" i="8"/>
  <c r="B636" i="8"/>
  <c r="B635" i="8"/>
  <c r="B634" i="8"/>
  <c r="B633" i="8"/>
  <c r="B632" i="8"/>
  <c r="B631" i="8"/>
  <c r="B630" i="8"/>
  <c r="B629" i="8"/>
  <c r="B628" i="8"/>
  <c r="B627" i="8"/>
  <c r="B626" i="8"/>
  <c r="B625" i="8"/>
  <c r="B624" i="8"/>
  <c r="B623" i="8"/>
  <c r="B622" i="8"/>
  <c r="B621" i="8"/>
  <c r="B620" i="8"/>
  <c r="B619" i="8"/>
  <c r="B618" i="8"/>
  <c r="B617" i="8"/>
  <c r="B616" i="8"/>
  <c r="B615" i="8"/>
  <c r="B614" i="8"/>
  <c r="B613" i="8"/>
  <c r="B612" i="8"/>
  <c r="B611" i="8"/>
  <c r="B610" i="8"/>
  <c r="B609" i="8"/>
  <c r="B608" i="8"/>
  <c r="B607" i="8"/>
  <c r="B606" i="8"/>
  <c r="B605" i="8"/>
  <c r="B604" i="8"/>
  <c r="B603" i="8"/>
  <c r="B602" i="8"/>
  <c r="B601" i="8"/>
  <c r="B600" i="8"/>
  <c r="B599"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C204" i="8" s="1"/>
  <c r="C205" i="8" s="1"/>
  <c r="C206" i="8" s="1"/>
  <c r="C207" i="8" s="1"/>
  <c r="C208" i="8" s="1"/>
  <c r="C209" i="8" s="1"/>
  <c r="C210" i="8" s="1"/>
  <c r="C211" i="8" s="1"/>
  <c r="C212" i="8" s="1"/>
  <c r="C213" i="8" s="1"/>
  <c r="C214" i="8" s="1"/>
  <c r="C215" i="8" s="1"/>
  <c r="C216" i="8" s="1"/>
  <c r="C217" i="8" s="1"/>
  <c r="C218" i="8" s="1"/>
  <c r="C219" i="8" s="1"/>
  <c r="C220" i="8" s="1"/>
  <c r="C221" i="8" s="1"/>
  <c r="C222" i="8" s="1"/>
  <c r="C223" i="8" s="1"/>
  <c r="C224" i="8" s="1"/>
  <c r="C225" i="8" s="1"/>
  <c r="C226" i="8" s="1"/>
  <c r="C227" i="8" s="1"/>
  <c r="C228" i="8" s="1"/>
  <c r="C229" i="8" s="1"/>
  <c r="C230" i="8" s="1"/>
  <c r="C231" i="8" s="1"/>
  <c r="C232" i="8" s="1"/>
  <c r="C233" i="8" s="1"/>
  <c r="C234" i="8" s="1"/>
  <c r="C235" i="8" s="1"/>
  <c r="C236" i="8" s="1"/>
  <c r="C237" i="8" s="1"/>
  <c r="C238" i="8" s="1"/>
  <c r="C239" i="8" s="1"/>
  <c r="C240" i="8" s="1"/>
  <c r="C241" i="8" s="1"/>
  <c r="C242" i="8" s="1"/>
  <c r="C243" i="8" s="1"/>
  <c r="C244" i="8" s="1"/>
  <c r="C245" i="8" s="1"/>
  <c r="C246" i="8" s="1"/>
  <c r="C247" i="8" s="1"/>
  <c r="C248" i="8" s="1"/>
  <c r="C249" i="8" s="1"/>
  <c r="C250" i="8" s="1"/>
  <c r="C251" i="8" s="1"/>
  <c r="C252" i="8" s="1"/>
  <c r="C253" i="8" s="1"/>
  <c r="C254" i="8" s="1"/>
  <c r="C255" i="8" s="1"/>
  <c r="C256" i="8" s="1"/>
  <c r="C257" i="8" s="1"/>
  <c r="C258" i="8" s="1"/>
  <c r="C259" i="8" s="1"/>
  <c r="C260" i="8" s="1"/>
  <c r="C261" i="8" s="1"/>
  <c r="C262" i="8" s="1"/>
  <c r="C263" i="8" s="1"/>
  <c r="C264" i="8" s="1"/>
  <c r="C265" i="8" s="1"/>
  <c r="C266" i="8" s="1"/>
  <c r="C267" i="8" s="1"/>
  <c r="C268" i="8" s="1"/>
  <c r="C269" i="8" s="1"/>
  <c r="C270" i="8" s="1"/>
  <c r="C271" i="8" s="1"/>
  <c r="C272" i="8" s="1"/>
  <c r="C273" i="8" s="1"/>
  <c r="C274" i="8" s="1"/>
  <c r="C275" i="8" s="1"/>
  <c r="C276" i="8" s="1"/>
  <c r="C277" i="8" s="1"/>
  <c r="C278" i="8" s="1"/>
  <c r="C279" i="8" s="1"/>
  <c r="C280" i="8" s="1"/>
  <c r="C281" i="8" s="1"/>
  <c r="C282" i="8" s="1"/>
  <c r="C283" i="8" s="1"/>
  <c r="C284" i="8" s="1"/>
  <c r="C285" i="8" s="1"/>
  <c r="C286" i="8" s="1"/>
  <c r="C287" i="8" s="1"/>
  <c r="C288" i="8" s="1"/>
  <c r="C289" i="8" s="1"/>
  <c r="C290" i="8" s="1"/>
  <c r="C291" i="8" s="1"/>
  <c r="C292" i="8" s="1"/>
  <c r="C293" i="8" s="1"/>
  <c r="C294" i="8" s="1"/>
  <c r="C295" i="8" s="1"/>
  <c r="C296" i="8" s="1"/>
  <c r="C297" i="8" s="1"/>
  <c r="C298" i="8" s="1"/>
  <c r="C299" i="8" s="1"/>
  <c r="C300" i="8" s="1"/>
  <c r="C301" i="8" s="1"/>
  <c r="C302" i="8" s="1"/>
  <c r="C303" i="8" s="1"/>
  <c r="C304" i="8" s="1"/>
  <c r="C305" i="8" s="1"/>
  <c r="C306" i="8" s="1"/>
  <c r="C307" i="8" s="1"/>
  <c r="C308" i="8" s="1"/>
  <c r="C309" i="8" s="1"/>
  <c r="C310" i="8" s="1"/>
  <c r="C311" i="8" s="1"/>
  <c r="C312" i="8" s="1"/>
  <c r="C313" i="8" s="1"/>
  <c r="C314" i="8" s="1"/>
  <c r="C315" i="8" s="1"/>
  <c r="C316" i="8" s="1"/>
  <c r="C317" i="8" s="1"/>
  <c r="C318" i="8" s="1"/>
  <c r="C319" i="8" s="1"/>
  <c r="C320" i="8" s="1"/>
  <c r="C321" i="8" s="1"/>
  <c r="C322" i="8" s="1"/>
  <c r="C323" i="8" s="1"/>
  <c r="C324" i="8" s="1"/>
  <c r="C325" i="8" s="1"/>
  <c r="C326" i="8" s="1"/>
  <c r="C327" i="8" s="1"/>
  <c r="C328" i="8" s="1"/>
  <c r="C329" i="8" s="1"/>
  <c r="C330" i="8" s="1"/>
  <c r="C331" i="8" s="1"/>
  <c r="C332" i="8" s="1"/>
  <c r="C333" i="8" s="1"/>
  <c r="C334" i="8" s="1"/>
  <c r="C335" i="8" s="1"/>
  <c r="C336" i="8" s="1"/>
  <c r="C337" i="8" s="1"/>
  <c r="C338" i="8" s="1"/>
  <c r="C339" i="8" s="1"/>
  <c r="C340" i="8" s="1"/>
  <c r="C341" i="8" s="1"/>
  <c r="C342" i="8" s="1"/>
  <c r="C343" i="8" s="1"/>
  <c r="C344" i="8" s="1"/>
  <c r="C345" i="8" s="1"/>
  <c r="C346" i="8" s="1"/>
  <c r="C347" i="8" s="1"/>
  <c r="C348" i="8" s="1"/>
  <c r="C349" i="8" s="1"/>
  <c r="C350" i="8" s="1"/>
  <c r="C351" i="8" s="1"/>
  <c r="C352" i="8" s="1"/>
  <c r="C353" i="8" s="1"/>
  <c r="C354" i="8" s="1"/>
  <c r="C355" i="8" s="1"/>
  <c r="C356" i="8" s="1"/>
  <c r="C357" i="8" s="1"/>
  <c r="C358" i="8" s="1"/>
  <c r="C359" i="8" s="1"/>
  <c r="C360" i="8" s="1"/>
  <c r="C361" i="8" s="1"/>
  <c r="C362" i="8" s="1"/>
  <c r="C363" i="8" s="1"/>
  <c r="C364" i="8" s="1"/>
  <c r="C365" i="8" s="1"/>
  <c r="C366" i="8" s="1"/>
  <c r="C367" i="8" s="1"/>
  <c r="C368" i="8" s="1"/>
  <c r="C369" i="8" s="1"/>
  <c r="C370" i="8" s="1"/>
  <c r="C371" i="8" s="1"/>
  <c r="C372" i="8" s="1"/>
  <c r="C373" i="8" s="1"/>
  <c r="C374" i="8" s="1"/>
  <c r="C375" i="8" s="1"/>
  <c r="C376" i="8" s="1"/>
  <c r="C377" i="8" s="1"/>
  <c r="C378" i="8" s="1"/>
  <c r="C379" i="8" s="1"/>
  <c r="C380" i="8" s="1"/>
  <c r="C381" i="8" s="1"/>
  <c r="C382" i="8" s="1"/>
  <c r="C383" i="8" s="1"/>
  <c r="C384" i="8" s="1"/>
  <c r="C385" i="8" s="1"/>
  <c r="C386" i="8" s="1"/>
  <c r="C387" i="8" s="1"/>
  <c r="C388" i="8" s="1"/>
  <c r="C389" i="8" s="1"/>
  <c r="C390" i="8" s="1"/>
  <c r="C391" i="8" s="1"/>
  <c r="C392" i="8" s="1"/>
  <c r="C393" i="8" s="1"/>
  <c r="C394" i="8" s="1"/>
  <c r="C395" i="8" s="1"/>
  <c r="C396" i="8" s="1"/>
  <c r="C397" i="8" s="1"/>
  <c r="C398" i="8" s="1"/>
  <c r="C399" i="8" s="1"/>
  <c r="C400" i="8" s="1"/>
  <c r="C401" i="8" s="1"/>
  <c r="C402" i="8" s="1"/>
  <c r="C403" i="8" s="1"/>
  <c r="C404" i="8" s="1"/>
  <c r="C405" i="8" s="1"/>
  <c r="C406" i="8" s="1"/>
  <c r="C407" i="8" s="1"/>
  <c r="C408" i="8" s="1"/>
  <c r="C409" i="8" s="1"/>
  <c r="C410" i="8" s="1"/>
  <c r="C411" i="8" s="1"/>
  <c r="C412" i="8" s="1"/>
  <c r="C413" i="8" s="1"/>
  <c r="C414" i="8" s="1"/>
  <c r="C415" i="8" s="1"/>
  <c r="C416" i="8" s="1"/>
  <c r="C417" i="8" s="1"/>
  <c r="C418" i="8" s="1"/>
  <c r="C419" i="8" s="1"/>
  <c r="C420" i="8" s="1"/>
  <c r="C421" i="8" s="1"/>
  <c r="C422" i="8" s="1"/>
  <c r="C423" i="8" s="1"/>
  <c r="C424" i="8" s="1"/>
  <c r="C425" i="8" s="1"/>
  <c r="C426" i="8" s="1"/>
  <c r="C427" i="8" s="1"/>
  <c r="C428" i="8" s="1"/>
  <c r="C429" i="8" s="1"/>
  <c r="C430" i="8" s="1"/>
  <c r="C431" i="8" s="1"/>
  <c r="C432" i="8" s="1"/>
  <c r="C433" i="8" s="1"/>
  <c r="C434" i="8" s="1"/>
  <c r="C435" i="8" s="1"/>
  <c r="C436" i="8" s="1"/>
  <c r="C437" i="8" s="1"/>
  <c r="C438" i="8" s="1"/>
  <c r="C439" i="8" s="1"/>
  <c r="C440" i="8" s="1"/>
  <c r="C441" i="8" s="1"/>
  <c r="C442" i="8" s="1"/>
  <c r="C443" i="8" s="1"/>
  <c r="C444" i="8" s="1"/>
  <c r="C445" i="8" s="1"/>
  <c r="C446" i="8" s="1"/>
  <c r="C447" i="8" s="1"/>
  <c r="C448" i="8" s="1"/>
  <c r="C449" i="8" s="1"/>
  <c r="C450" i="8" s="1"/>
  <c r="C451" i="8" s="1"/>
  <c r="C452" i="8" s="1"/>
  <c r="C453" i="8" s="1"/>
  <c r="C454" i="8" s="1"/>
  <c r="C455" i="8" s="1"/>
  <c r="C456" i="8" s="1"/>
  <c r="C457" i="8" s="1"/>
  <c r="C458" i="8" s="1"/>
  <c r="C459" i="8" s="1"/>
  <c r="C460" i="8" s="1"/>
  <c r="C461" i="8" s="1"/>
  <c r="C462" i="8" s="1"/>
  <c r="C463" i="8" s="1"/>
  <c r="C464" i="8" s="1"/>
  <c r="C465" i="8" s="1"/>
  <c r="C466" i="8" s="1"/>
  <c r="C467" i="8" s="1"/>
  <c r="C468" i="8" s="1"/>
  <c r="C469" i="8" s="1"/>
  <c r="C470" i="8" s="1"/>
  <c r="C471" i="8" s="1"/>
  <c r="C472" i="8" s="1"/>
  <c r="C473" i="8" s="1"/>
  <c r="C474" i="8" s="1"/>
  <c r="C475" i="8" s="1"/>
  <c r="C476" i="8" s="1"/>
  <c r="C477" i="8" s="1"/>
  <c r="C478" i="8" s="1"/>
  <c r="C479" i="8" s="1"/>
  <c r="C480" i="8" s="1"/>
  <c r="C481" i="8" s="1"/>
  <c r="C482" i="8" s="1"/>
  <c r="C483" i="8" s="1"/>
  <c r="C484" i="8" s="1"/>
  <c r="C485" i="8" s="1"/>
  <c r="C486" i="8" s="1"/>
  <c r="C487" i="8" s="1"/>
  <c r="C488" i="8" s="1"/>
  <c r="C489" i="8" s="1"/>
  <c r="C490" i="8" s="1"/>
  <c r="C491" i="8" s="1"/>
  <c r="C492" i="8" s="1"/>
  <c r="C493" i="8" s="1"/>
  <c r="C494" i="8" s="1"/>
  <c r="C495" i="8" s="1"/>
  <c r="C496" i="8" s="1"/>
  <c r="C497" i="8" s="1"/>
  <c r="C498" i="8" s="1"/>
  <c r="C499" i="8" s="1"/>
  <c r="C500" i="8" s="1"/>
  <c r="C501" i="8" s="1"/>
  <c r="C502" i="8" s="1"/>
  <c r="C503" i="8" s="1"/>
  <c r="C504" i="8" s="1"/>
  <c r="C505" i="8" s="1"/>
  <c r="C506" i="8" s="1"/>
  <c r="C507" i="8" s="1"/>
  <c r="C508" i="8" s="1"/>
  <c r="C509" i="8" s="1"/>
  <c r="C510" i="8" s="1"/>
  <c r="C511" i="8" s="1"/>
  <c r="C512" i="8" s="1"/>
  <c r="C513" i="8" s="1"/>
  <c r="C514" i="8" s="1"/>
  <c r="C515" i="8" s="1"/>
  <c r="C516" i="8" s="1"/>
  <c r="C517" i="8" s="1"/>
  <c r="C518" i="8" s="1"/>
  <c r="C519" i="8" s="1"/>
  <c r="C520" i="8" s="1"/>
  <c r="C521" i="8" s="1"/>
  <c r="C522" i="8" s="1"/>
  <c r="C523" i="8" s="1"/>
  <c r="C524" i="8" s="1"/>
  <c r="C525" i="8" s="1"/>
  <c r="C526" i="8" s="1"/>
  <c r="C527" i="8" s="1"/>
  <c r="C528" i="8" s="1"/>
  <c r="C529" i="8" s="1"/>
  <c r="C530" i="8" s="1"/>
  <c r="C531" i="8" s="1"/>
  <c r="C532" i="8" s="1"/>
  <c r="C533" i="8" s="1"/>
  <c r="C534" i="8" s="1"/>
  <c r="C535" i="8" s="1"/>
  <c r="C536" i="8" s="1"/>
  <c r="C537" i="8" s="1"/>
  <c r="C538" i="8" s="1"/>
  <c r="C539" i="8" s="1"/>
  <c r="C540" i="8" s="1"/>
  <c r="C541" i="8" s="1"/>
  <c r="C542" i="8" s="1"/>
  <c r="C543" i="8" s="1"/>
  <c r="C544" i="8" s="1"/>
  <c r="C545" i="8" s="1"/>
  <c r="C546" i="8" s="1"/>
  <c r="C547" i="8" s="1"/>
  <c r="C548" i="8" s="1"/>
  <c r="C549" i="8" s="1"/>
  <c r="C550" i="8" s="1"/>
  <c r="C551" i="8" s="1"/>
  <c r="C552" i="8" s="1"/>
  <c r="C553" i="8" s="1"/>
  <c r="C554" i="8" s="1"/>
  <c r="C555" i="8" s="1"/>
  <c r="C556" i="8" s="1"/>
  <c r="C557" i="8" s="1"/>
  <c r="C558" i="8" s="1"/>
  <c r="C559" i="8" s="1"/>
  <c r="C560" i="8" s="1"/>
  <c r="C561" i="8" s="1"/>
  <c r="C562" i="8" s="1"/>
  <c r="C563" i="8" s="1"/>
  <c r="C564" i="8" s="1"/>
  <c r="C565" i="8" s="1"/>
  <c r="C566" i="8" s="1"/>
  <c r="C567" i="8" s="1"/>
  <c r="C568" i="8" s="1"/>
  <c r="C569" i="8" s="1"/>
  <c r="C570" i="8" s="1"/>
  <c r="C571" i="8" s="1"/>
  <c r="C572" i="8" s="1"/>
  <c r="C573" i="8" s="1"/>
  <c r="C574" i="8" s="1"/>
  <c r="C575" i="8" s="1"/>
  <c r="C576" i="8" s="1"/>
  <c r="C577" i="8" s="1"/>
  <c r="C578" i="8" s="1"/>
  <c r="C579" i="8" s="1"/>
  <c r="C580" i="8" s="1"/>
  <c r="C581" i="8" s="1"/>
  <c r="C582" i="8" s="1"/>
  <c r="C583" i="8" s="1"/>
  <c r="C584" i="8" s="1"/>
  <c r="C585" i="8" s="1"/>
  <c r="C586" i="8" s="1"/>
  <c r="C587" i="8" s="1"/>
  <c r="C588" i="8" s="1"/>
  <c r="C589" i="8" s="1"/>
  <c r="C590" i="8" s="1"/>
  <c r="C591" i="8" s="1"/>
  <c r="C592" i="8" s="1"/>
  <c r="C593" i="8" s="1"/>
  <c r="C594" i="8" s="1"/>
  <c r="C595" i="8" s="1"/>
  <c r="C596" i="8" s="1"/>
  <c r="C597" i="8" s="1"/>
  <c r="C598" i="8" s="1"/>
  <c r="C599" i="8" s="1"/>
  <c r="C600" i="8" s="1"/>
  <c r="C601" i="8" s="1"/>
  <c r="C602" i="8" s="1"/>
  <c r="C603" i="8" s="1"/>
  <c r="C604" i="8" s="1"/>
  <c r="C605" i="8" s="1"/>
  <c r="C606" i="8" s="1"/>
  <c r="C607" i="8" s="1"/>
  <c r="C608" i="8" s="1"/>
  <c r="C609" i="8" s="1"/>
  <c r="C610" i="8" s="1"/>
  <c r="C611" i="8" s="1"/>
  <c r="C612" i="8" s="1"/>
  <c r="C613" i="8" s="1"/>
  <c r="C614" i="8" s="1"/>
  <c r="C615" i="8" s="1"/>
  <c r="C616" i="8" s="1"/>
  <c r="C617" i="8" s="1"/>
  <c r="C618" i="8" s="1"/>
  <c r="C619" i="8" s="1"/>
  <c r="C620" i="8" s="1"/>
  <c r="C621" i="8" s="1"/>
  <c r="C622" i="8" s="1"/>
  <c r="C623" i="8" s="1"/>
  <c r="C624" i="8" s="1"/>
  <c r="C625" i="8" s="1"/>
  <c r="C626" i="8" s="1"/>
  <c r="C627" i="8" s="1"/>
  <c r="C628" i="8" s="1"/>
  <c r="C629" i="8" s="1"/>
  <c r="C630" i="8" s="1"/>
  <c r="C631" i="8" s="1"/>
  <c r="C632" i="8" s="1"/>
  <c r="C633" i="8" s="1"/>
  <c r="C634" i="8" s="1"/>
  <c r="C635" i="8" s="1"/>
  <c r="C636" i="8" s="1"/>
  <c r="C637" i="8" s="1"/>
  <c r="C638" i="8" s="1"/>
  <c r="C639" i="8" s="1"/>
  <c r="C640" i="8" s="1"/>
  <c r="C641" i="8" s="1"/>
  <c r="C642" i="8" s="1"/>
  <c r="C643" i="8" s="1"/>
  <c r="C644" i="8" s="1"/>
  <c r="C645" i="8" s="1"/>
  <c r="C646" i="8" s="1"/>
  <c r="C647" i="8" s="1"/>
  <c r="C648" i="8" s="1"/>
  <c r="C649" i="8" s="1"/>
  <c r="C650" i="8" s="1"/>
  <c r="C651" i="8" s="1"/>
  <c r="C652" i="8" s="1"/>
  <c r="C653" i="8" s="1"/>
  <c r="C654" i="8" s="1"/>
  <c r="C655" i="8" s="1"/>
  <c r="C656" i="8" s="1"/>
  <c r="C657" i="8" s="1"/>
  <c r="C658" i="8" s="1"/>
  <c r="C659" i="8" s="1"/>
  <c r="C660" i="8" s="1"/>
  <c r="C661" i="8" s="1"/>
  <c r="C662" i="8" s="1"/>
  <c r="C663" i="8" s="1"/>
  <c r="C664" i="8" s="1"/>
  <c r="C665" i="8" s="1"/>
  <c r="C666" i="8" s="1"/>
  <c r="C667" i="8" s="1"/>
  <c r="C668" i="8" s="1"/>
  <c r="C669" i="8" s="1"/>
  <c r="C670" i="8" s="1"/>
  <c r="C671" i="8" s="1"/>
  <c r="C672" i="8" s="1"/>
  <c r="C673" i="8" s="1"/>
  <c r="C674" i="8" s="1"/>
  <c r="C675" i="8" s="1"/>
  <c r="C676" i="8" s="1"/>
  <c r="C677" i="8" s="1"/>
  <c r="C678" i="8" s="1"/>
  <c r="C679" i="8" s="1"/>
  <c r="C680" i="8" s="1"/>
  <c r="C681" i="8" s="1"/>
  <c r="C682" i="8" s="1"/>
  <c r="C683" i="8" s="1"/>
  <c r="C684" i="8" s="1"/>
  <c r="C685" i="8" s="1"/>
  <c r="C686" i="8" s="1"/>
  <c r="C687" i="8" s="1"/>
  <c r="C688" i="8" s="1"/>
  <c r="C689" i="8" s="1"/>
  <c r="C690" i="8" s="1"/>
  <c r="C691" i="8" s="1"/>
  <c r="C692" i="8" s="1"/>
  <c r="C693" i="8" s="1"/>
  <c r="C694" i="8" s="1"/>
  <c r="C695" i="8" s="1"/>
  <c r="C696" i="8" s="1"/>
  <c r="C697" i="8" s="1"/>
  <c r="C698" i="8" s="1"/>
  <c r="C699" i="8" s="1"/>
  <c r="C700" i="8" s="1"/>
  <c r="C701" i="8" s="1"/>
  <c r="C702" i="8" s="1"/>
  <c r="C703" i="8" s="1"/>
  <c r="C704" i="8" s="1"/>
  <c r="C705" i="8" s="1"/>
  <c r="C706" i="8" s="1"/>
  <c r="C707" i="8" s="1"/>
  <c r="C708" i="8" s="1"/>
  <c r="C709" i="8" s="1"/>
  <c r="C710" i="8" s="1"/>
  <c r="C711" i="8" s="1"/>
  <c r="C712" i="8" s="1"/>
  <c r="C713" i="8" s="1"/>
  <c r="C714" i="8" s="1"/>
  <c r="C715" i="8" s="1"/>
  <c r="C716" i="8" s="1"/>
  <c r="C717" i="8" s="1"/>
  <c r="C718" i="8" s="1"/>
  <c r="C719" i="8" s="1"/>
  <c r="C720" i="8" s="1"/>
  <c r="C721" i="8" s="1"/>
  <c r="C722" i="8" s="1"/>
  <c r="C723" i="8" s="1"/>
  <c r="C724" i="8" s="1"/>
  <c r="C725" i="8" s="1"/>
  <c r="C726" i="8" s="1"/>
  <c r="C727" i="8" s="1"/>
  <c r="C728" i="8" s="1"/>
  <c r="C729" i="8" s="1"/>
  <c r="C730" i="8" s="1"/>
  <c r="C731" i="8" s="1"/>
  <c r="C732" i="8" s="1"/>
  <c r="C733" i="8" s="1"/>
  <c r="C734" i="8" s="1"/>
  <c r="C735" i="8" s="1"/>
  <c r="C736" i="8" s="1"/>
  <c r="C737" i="8" s="1"/>
  <c r="C738" i="8" s="1"/>
  <c r="C739" i="8" s="1"/>
  <c r="C740" i="8" s="1"/>
  <c r="C741" i="8" s="1"/>
  <c r="C742" i="8" s="1"/>
  <c r="C743" i="8" s="1"/>
  <c r="C744" i="8" s="1"/>
  <c r="C745" i="8" s="1"/>
  <c r="C746" i="8" s="1"/>
  <c r="C747" i="8" s="1"/>
  <c r="C748" i="8" s="1"/>
  <c r="C749" i="8" s="1"/>
  <c r="C750" i="8" s="1"/>
  <c r="C751" i="8" s="1"/>
  <c r="C752" i="8" s="1"/>
  <c r="C753" i="8" s="1"/>
  <c r="C754" i="8" s="1"/>
  <c r="C755" i="8" s="1"/>
  <c r="C756" i="8" s="1"/>
  <c r="C757" i="8" s="1"/>
  <c r="C758" i="8" s="1"/>
  <c r="C759" i="8" s="1"/>
  <c r="C760" i="8" s="1"/>
  <c r="C761" i="8" s="1"/>
  <c r="C762" i="8" s="1"/>
  <c r="C763" i="8" s="1"/>
  <c r="C764" i="8" s="1"/>
  <c r="C765" i="8" s="1"/>
  <c r="C766" i="8" s="1"/>
  <c r="C767" i="8" s="1"/>
  <c r="C768" i="8" s="1"/>
  <c r="C769" i="8" s="1"/>
  <c r="C770" i="8" s="1"/>
  <c r="C771" i="8" s="1"/>
  <c r="C772" i="8" s="1"/>
  <c r="C773" i="8" s="1"/>
  <c r="C774" i="8" s="1"/>
  <c r="C775" i="8" s="1"/>
  <c r="C776" i="8" s="1"/>
  <c r="C777" i="8" s="1"/>
  <c r="C778" i="8" s="1"/>
  <c r="C779" i="8" s="1"/>
  <c r="C780" i="8" s="1"/>
  <c r="C781" i="8" s="1"/>
  <c r="C782" i="8" s="1"/>
  <c r="C783" i="8" s="1"/>
  <c r="C784" i="8" s="1"/>
  <c r="C785" i="8" s="1"/>
  <c r="C786" i="8" s="1"/>
  <c r="C787" i="8" s="1"/>
  <c r="C788" i="8" s="1"/>
  <c r="C789" i="8" s="1"/>
  <c r="C790" i="8" s="1"/>
  <c r="C791" i="8" s="1"/>
  <c r="C792" i="8" s="1"/>
  <c r="C793" i="8" s="1"/>
  <c r="C794" i="8" s="1"/>
  <c r="C795" i="8" s="1"/>
  <c r="C796" i="8" s="1"/>
  <c r="C797" i="8" s="1"/>
  <c r="C798" i="8" s="1"/>
  <c r="C799" i="8" s="1"/>
  <c r="C800" i="8" s="1"/>
  <c r="B203" i="8"/>
  <c r="C203" i="8" s="1"/>
  <c r="B2089" i="7"/>
  <c r="B2088" i="7"/>
  <c r="B2087" i="7"/>
  <c r="B2086" i="7"/>
  <c r="B2085" i="7"/>
  <c r="B2084" i="7"/>
  <c r="B2083" i="7"/>
  <c r="B2082" i="7"/>
  <c r="B2081" i="7"/>
  <c r="B2080" i="7"/>
  <c r="B2079" i="7"/>
  <c r="B2078" i="7"/>
  <c r="B2077" i="7"/>
  <c r="B2076" i="7"/>
  <c r="B2075" i="7"/>
  <c r="B2074" i="7"/>
  <c r="B2073" i="7"/>
  <c r="B2072" i="7"/>
  <c r="B2071" i="7"/>
  <c r="B2070" i="7"/>
  <c r="B2069" i="7"/>
  <c r="B2068" i="7"/>
  <c r="B2067" i="7"/>
  <c r="B2066" i="7"/>
  <c r="B2065" i="7"/>
  <c r="B2064" i="7"/>
  <c r="B2063" i="7"/>
  <c r="B2062" i="7"/>
  <c r="B2061" i="7"/>
  <c r="B2060" i="7"/>
  <c r="B2059" i="7"/>
  <c r="B2058" i="7"/>
  <c r="B2057" i="7"/>
  <c r="B2056" i="7"/>
  <c r="B2055" i="7"/>
  <c r="B2054" i="7"/>
  <c r="B2053" i="7"/>
  <c r="B2052" i="7"/>
  <c r="B2051" i="7"/>
  <c r="B2050" i="7"/>
  <c r="B2049" i="7"/>
  <c r="B2048" i="7"/>
  <c r="B2047" i="7"/>
  <c r="B2046" i="7"/>
  <c r="B2045" i="7"/>
  <c r="B2044" i="7"/>
  <c r="B2043" i="7"/>
  <c r="B2042" i="7"/>
  <c r="B2041" i="7"/>
  <c r="B2040" i="7"/>
  <c r="B2039" i="7"/>
  <c r="B2038" i="7"/>
  <c r="B2037" i="7"/>
  <c r="B2036" i="7"/>
  <c r="B2035" i="7"/>
  <c r="B2034" i="7"/>
  <c r="B2033" i="7"/>
  <c r="B2032" i="7"/>
  <c r="B2031" i="7"/>
  <c r="B2030" i="7"/>
  <c r="B2029" i="7"/>
  <c r="B2028" i="7"/>
  <c r="B2027" i="7"/>
  <c r="B2026" i="7"/>
  <c r="B2025" i="7"/>
  <c r="B2024" i="7"/>
  <c r="B2023" i="7"/>
  <c r="B2022" i="7"/>
  <c r="B2021" i="7"/>
  <c r="B2020" i="7"/>
  <c r="B2019" i="7"/>
  <c r="B2018" i="7"/>
  <c r="B2017" i="7"/>
  <c r="B2016" i="7"/>
  <c r="B2015" i="7"/>
  <c r="B2014" i="7"/>
  <c r="B2013" i="7"/>
  <c r="B2012" i="7"/>
  <c r="B2011" i="7"/>
  <c r="B2010" i="7"/>
  <c r="B2009" i="7"/>
  <c r="B2008" i="7"/>
  <c r="B2007" i="7"/>
  <c r="B2006" i="7"/>
  <c r="B2005" i="7"/>
  <c r="B2004" i="7"/>
  <c r="B2003" i="7"/>
  <c r="B2002" i="7"/>
  <c r="B2001" i="7"/>
  <c r="B2000" i="7"/>
  <c r="B1999" i="7"/>
  <c r="B1998" i="7"/>
  <c r="B1997" i="7"/>
  <c r="B1996" i="7"/>
  <c r="B1995" i="7"/>
  <c r="B1994" i="7"/>
  <c r="B1993" i="7"/>
  <c r="B1992" i="7"/>
  <c r="B1991" i="7"/>
  <c r="B1990" i="7"/>
  <c r="B1989" i="7"/>
  <c r="B1988" i="7"/>
  <c r="B1987" i="7"/>
  <c r="B1986" i="7"/>
  <c r="B1985" i="7"/>
  <c r="B1984" i="7"/>
  <c r="B1983" i="7"/>
  <c r="B1982" i="7"/>
  <c r="B1981" i="7"/>
  <c r="B1980" i="7"/>
  <c r="B1979" i="7"/>
  <c r="B1978" i="7"/>
  <c r="B1977" i="7"/>
  <c r="B1976" i="7"/>
  <c r="B1975" i="7"/>
  <c r="B1974" i="7"/>
  <c r="B1973" i="7"/>
  <c r="B1972" i="7"/>
  <c r="B1971" i="7"/>
  <c r="B1970" i="7"/>
  <c r="B1969" i="7"/>
  <c r="B1968" i="7"/>
  <c r="B1967" i="7"/>
  <c r="B1966" i="7"/>
  <c r="B1965" i="7"/>
  <c r="B1964" i="7"/>
  <c r="B1963" i="7"/>
  <c r="B1962" i="7"/>
  <c r="B1961" i="7"/>
  <c r="B1960" i="7"/>
  <c r="B1959" i="7"/>
  <c r="B1958" i="7"/>
  <c r="B1957" i="7"/>
  <c r="B1956" i="7"/>
  <c r="B1955" i="7"/>
  <c r="B1954" i="7"/>
  <c r="B1953" i="7"/>
  <c r="B1952" i="7"/>
  <c r="B1951" i="7"/>
  <c r="B1950" i="7"/>
  <c r="B1949" i="7"/>
  <c r="B1948" i="7"/>
  <c r="B1947" i="7"/>
  <c r="B1946" i="7"/>
  <c r="B1945" i="7"/>
  <c r="B1944" i="7"/>
  <c r="B1943" i="7"/>
  <c r="B1942" i="7"/>
  <c r="B1941" i="7"/>
  <c r="B1940" i="7"/>
  <c r="B1939" i="7"/>
  <c r="B1938" i="7"/>
  <c r="B1937" i="7"/>
  <c r="B1936" i="7"/>
  <c r="B1935" i="7"/>
  <c r="B1934" i="7"/>
  <c r="B1933" i="7"/>
  <c r="B1932" i="7"/>
  <c r="B1931" i="7"/>
  <c r="B1930" i="7"/>
  <c r="B1929" i="7"/>
  <c r="B1928" i="7"/>
  <c r="B1927" i="7"/>
  <c r="B1926" i="7"/>
  <c r="B1925" i="7"/>
  <c r="B1924" i="7"/>
  <c r="B1923" i="7"/>
  <c r="B1922" i="7"/>
  <c r="B1921" i="7"/>
  <c r="B1920" i="7"/>
  <c r="B1919" i="7"/>
  <c r="B1918" i="7"/>
  <c r="B1917" i="7"/>
  <c r="B1916" i="7"/>
  <c r="B1915" i="7"/>
  <c r="B1914" i="7"/>
  <c r="B1913" i="7"/>
  <c r="B1912" i="7"/>
  <c r="B1911" i="7"/>
  <c r="B1910" i="7"/>
  <c r="B1909" i="7"/>
  <c r="B1908" i="7"/>
  <c r="B1907" i="7"/>
  <c r="B1906" i="7"/>
  <c r="B1905" i="7"/>
  <c r="B1904" i="7"/>
  <c r="B1903" i="7"/>
  <c r="B1902" i="7"/>
  <c r="B1901" i="7"/>
  <c r="B1900" i="7"/>
  <c r="B1899" i="7"/>
  <c r="B1898" i="7"/>
  <c r="B1897" i="7"/>
  <c r="B1896" i="7"/>
  <c r="B1895" i="7"/>
  <c r="B1894" i="7"/>
  <c r="B1893" i="7"/>
  <c r="B1892" i="7"/>
  <c r="B1891" i="7"/>
  <c r="B1890" i="7"/>
  <c r="B1889" i="7"/>
  <c r="B1888" i="7"/>
  <c r="B1887" i="7"/>
  <c r="B1886" i="7"/>
  <c r="B1885" i="7"/>
  <c r="B1884" i="7"/>
  <c r="B1883" i="7"/>
  <c r="B1882" i="7"/>
  <c r="B1881" i="7"/>
  <c r="B1880" i="7"/>
  <c r="B1879" i="7"/>
  <c r="B1878" i="7"/>
  <c r="B1877" i="7"/>
  <c r="B1876" i="7"/>
  <c r="B1875" i="7"/>
  <c r="B1874" i="7"/>
  <c r="B1873" i="7"/>
  <c r="B1872" i="7"/>
  <c r="B1871" i="7"/>
  <c r="B1870" i="7"/>
  <c r="B1869" i="7"/>
  <c r="B1868" i="7"/>
  <c r="B1867" i="7"/>
  <c r="B1866" i="7"/>
  <c r="B1865" i="7"/>
  <c r="B1864" i="7"/>
  <c r="B1863" i="7"/>
  <c r="B1862" i="7"/>
  <c r="B1861" i="7"/>
  <c r="B1860" i="7"/>
  <c r="B1859" i="7"/>
  <c r="B1858" i="7"/>
  <c r="B1857" i="7"/>
  <c r="B1856" i="7"/>
  <c r="B1855" i="7"/>
  <c r="B1854" i="7"/>
  <c r="B1853" i="7"/>
  <c r="B1852" i="7"/>
  <c r="B1851" i="7"/>
  <c r="B1850" i="7"/>
  <c r="B1849" i="7"/>
  <c r="B1848" i="7"/>
  <c r="B1847" i="7"/>
  <c r="B1846" i="7"/>
  <c r="B1845" i="7"/>
  <c r="B1844" i="7"/>
  <c r="B1843" i="7"/>
  <c r="B1842" i="7"/>
  <c r="B1841" i="7"/>
  <c r="B1840" i="7"/>
  <c r="B1839" i="7"/>
  <c r="B1838" i="7"/>
  <c r="B1837" i="7"/>
  <c r="B1836" i="7"/>
  <c r="B1835" i="7"/>
  <c r="B1834" i="7"/>
  <c r="B1833" i="7"/>
  <c r="B1832" i="7"/>
  <c r="B1831" i="7"/>
  <c r="B1830" i="7"/>
  <c r="B1829" i="7"/>
  <c r="B1828" i="7"/>
  <c r="B1827" i="7"/>
  <c r="B1826" i="7"/>
  <c r="B1825" i="7"/>
  <c r="B1824" i="7"/>
  <c r="B1823" i="7"/>
  <c r="B1822" i="7"/>
  <c r="B1821" i="7"/>
  <c r="B1820" i="7"/>
  <c r="B1819" i="7"/>
  <c r="B1818" i="7"/>
  <c r="B1817" i="7"/>
  <c r="B1816" i="7"/>
  <c r="B1815" i="7"/>
  <c r="B1814" i="7"/>
  <c r="B1813" i="7"/>
  <c r="B1812" i="7"/>
  <c r="B1811" i="7"/>
  <c r="B1810" i="7"/>
  <c r="B1809" i="7"/>
  <c r="B1808" i="7"/>
  <c r="B1807" i="7"/>
  <c r="B1806" i="7"/>
  <c r="B1805" i="7"/>
  <c r="B1804" i="7"/>
  <c r="B1803" i="7"/>
  <c r="B1802" i="7"/>
  <c r="B1801" i="7"/>
  <c r="B1800" i="7"/>
  <c r="B1799" i="7"/>
  <c r="B1798" i="7"/>
  <c r="B1797" i="7"/>
  <c r="B1796" i="7"/>
  <c r="B1795" i="7"/>
  <c r="B1794" i="7"/>
  <c r="B1793" i="7"/>
  <c r="B1792" i="7"/>
  <c r="B1791" i="7"/>
  <c r="B1790" i="7"/>
  <c r="B1789" i="7"/>
  <c r="B1788" i="7"/>
  <c r="B1787" i="7"/>
  <c r="B1786" i="7"/>
  <c r="B1785" i="7"/>
  <c r="B1784" i="7"/>
  <c r="B1783" i="7"/>
  <c r="B1782" i="7"/>
  <c r="B1781" i="7"/>
  <c r="B1780" i="7"/>
  <c r="B1779" i="7"/>
  <c r="B1778" i="7"/>
  <c r="B1777" i="7"/>
  <c r="B1776" i="7"/>
  <c r="B1775" i="7"/>
  <c r="B1774" i="7"/>
  <c r="B1773" i="7"/>
  <c r="B1772" i="7"/>
  <c r="B1771" i="7"/>
  <c r="B1770" i="7"/>
  <c r="B1769" i="7"/>
  <c r="B1768" i="7"/>
  <c r="B1767" i="7"/>
  <c r="B1766" i="7"/>
  <c r="B1765" i="7"/>
  <c r="B1764" i="7"/>
  <c r="B1763" i="7"/>
  <c r="B1762" i="7"/>
  <c r="B1761" i="7"/>
  <c r="B1760" i="7"/>
  <c r="B1759" i="7"/>
  <c r="B1758" i="7"/>
  <c r="B1757" i="7"/>
  <c r="B1756" i="7"/>
  <c r="B1755" i="7"/>
  <c r="B1754" i="7"/>
  <c r="B1753" i="7"/>
  <c r="B1752" i="7"/>
  <c r="B1751" i="7"/>
  <c r="B1750" i="7"/>
  <c r="B1749" i="7"/>
  <c r="B1748" i="7"/>
  <c r="B1747" i="7"/>
  <c r="B1746" i="7"/>
  <c r="B1745" i="7"/>
  <c r="B1744" i="7"/>
  <c r="B1743" i="7"/>
  <c r="B1742" i="7"/>
  <c r="B1741" i="7"/>
  <c r="B1740" i="7"/>
  <c r="B1739" i="7"/>
  <c r="B1738" i="7"/>
  <c r="B1737" i="7"/>
  <c r="B1736" i="7"/>
  <c r="B1735" i="7"/>
  <c r="B1734" i="7"/>
  <c r="B1733" i="7"/>
  <c r="B1732" i="7"/>
  <c r="B1731" i="7"/>
  <c r="B1730" i="7"/>
  <c r="B1729" i="7"/>
  <c r="B1728" i="7"/>
  <c r="B1727" i="7"/>
  <c r="B1726" i="7"/>
  <c r="B1725" i="7"/>
  <c r="B1724" i="7"/>
  <c r="B1723" i="7"/>
  <c r="B1722" i="7"/>
  <c r="B1721" i="7"/>
  <c r="B1720" i="7"/>
  <c r="B1719" i="7"/>
  <c r="B1718" i="7"/>
  <c r="B1717" i="7"/>
  <c r="B1716" i="7"/>
  <c r="B1715" i="7"/>
  <c r="B1714" i="7"/>
  <c r="B1713" i="7"/>
  <c r="B1712" i="7"/>
  <c r="B1711" i="7"/>
  <c r="B1710" i="7"/>
  <c r="B1709" i="7"/>
  <c r="B1708" i="7"/>
  <c r="B1707" i="7"/>
  <c r="B1706" i="7"/>
  <c r="B1705" i="7"/>
  <c r="B1704" i="7"/>
  <c r="B1703" i="7"/>
  <c r="B1702" i="7"/>
  <c r="B1701" i="7"/>
  <c r="B1700" i="7"/>
  <c r="B1699" i="7"/>
  <c r="B1698" i="7"/>
  <c r="B1697" i="7"/>
  <c r="B1696" i="7"/>
  <c r="B1695" i="7"/>
  <c r="B1694" i="7"/>
  <c r="B1693" i="7"/>
  <c r="B1692" i="7"/>
  <c r="B1691" i="7"/>
  <c r="B1690" i="7"/>
  <c r="B1689" i="7"/>
  <c r="B1688" i="7"/>
  <c r="B1687" i="7"/>
  <c r="B1686" i="7"/>
  <c r="B1685" i="7"/>
  <c r="B1684" i="7"/>
  <c r="B1683" i="7"/>
  <c r="B1682" i="7"/>
  <c r="B1681" i="7"/>
  <c r="B1680" i="7"/>
  <c r="B1679" i="7"/>
  <c r="B1678" i="7"/>
  <c r="B1677" i="7"/>
  <c r="B1676" i="7"/>
  <c r="B1675" i="7"/>
  <c r="B1674" i="7"/>
  <c r="B1673" i="7"/>
  <c r="B1672" i="7"/>
  <c r="B1671" i="7"/>
  <c r="B1670" i="7"/>
  <c r="B1669" i="7"/>
  <c r="B1668" i="7"/>
  <c r="B1667" i="7"/>
  <c r="B1666" i="7"/>
  <c r="B1665" i="7"/>
  <c r="B1664" i="7"/>
  <c r="B1663" i="7"/>
  <c r="B1662" i="7"/>
  <c r="B1661" i="7"/>
  <c r="B1660" i="7"/>
  <c r="B1659" i="7"/>
  <c r="B1658" i="7"/>
  <c r="B1657" i="7"/>
  <c r="B1656" i="7"/>
  <c r="B1655" i="7"/>
  <c r="B1654" i="7"/>
  <c r="B1653" i="7"/>
  <c r="B1652" i="7"/>
  <c r="B1651" i="7"/>
  <c r="B1650" i="7"/>
  <c r="B1649" i="7"/>
  <c r="B1648" i="7"/>
  <c r="B1647" i="7"/>
  <c r="B1646" i="7"/>
  <c r="B1645" i="7"/>
  <c r="B1644" i="7"/>
  <c r="B1643" i="7"/>
  <c r="B1642" i="7"/>
  <c r="B1641" i="7"/>
  <c r="B1640" i="7"/>
  <c r="B1639" i="7"/>
  <c r="B1638" i="7"/>
  <c r="B1637" i="7"/>
  <c r="B1636" i="7"/>
  <c r="B1635" i="7"/>
  <c r="B1634" i="7"/>
  <c r="B1633" i="7"/>
  <c r="B1632" i="7"/>
  <c r="B1631" i="7"/>
  <c r="B1630" i="7"/>
  <c r="B1629" i="7"/>
  <c r="B1628" i="7"/>
  <c r="B1627" i="7"/>
  <c r="B1626" i="7"/>
  <c r="B1625" i="7"/>
  <c r="B1624" i="7"/>
  <c r="B1623" i="7"/>
  <c r="B1622" i="7"/>
  <c r="B1621" i="7"/>
  <c r="B1620" i="7"/>
  <c r="B1619" i="7"/>
  <c r="B1618" i="7"/>
  <c r="B1617" i="7"/>
  <c r="B1616" i="7"/>
  <c r="B1615" i="7"/>
  <c r="B1614" i="7"/>
  <c r="B1613" i="7"/>
  <c r="B1612" i="7"/>
  <c r="B1611" i="7"/>
  <c r="B1610" i="7"/>
  <c r="B1609" i="7"/>
  <c r="B1608" i="7"/>
  <c r="B1607" i="7"/>
  <c r="B801" i="6"/>
  <c r="B800" i="6"/>
  <c r="B799" i="6"/>
  <c r="B798" i="6"/>
  <c r="B797" i="6"/>
  <c r="B796" i="6"/>
  <c r="B795" i="6"/>
  <c r="B794" i="6"/>
  <c r="B793" i="6"/>
  <c r="B792" i="6"/>
  <c r="B791" i="6"/>
  <c r="B790" i="6"/>
  <c r="B789" i="6"/>
  <c r="B788" i="6"/>
  <c r="B787" i="6"/>
  <c r="B786" i="6"/>
  <c r="B785" i="6"/>
  <c r="B784" i="6"/>
  <c r="B783" i="6"/>
  <c r="B782" i="6"/>
  <c r="B781" i="6"/>
  <c r="B780" i="6"/>
  <c r="B779" i="6"/>
  <c r="B778" i="6"/>
  <c r="B777" i="6"/>
  <c r="B776" i="6"/>
  <c r="B775" i="6"/>
  <c r="B774" i="6"/>
  <c r="B773" i="6"/>
  <c r="B772" i="6"/>
  <c r="B771" i="6"/>
  <c r="B770" i="6"/>
  <c r="B769" i="6"/>
  <c r="B768" i="6"/>
  <c r="B767" i="6"/>
  <c r="B766" i="6"/>
  <c r="B765" i="6"/>
  <c r="B764" i="6"/>
  <c r="B763" i="6"/>
  <c r="B762" i="6"/>
  <c r="B761" i="6"/>
  <c r="B760" i="6"/>
  <c r="B759" i="6"/>
  <c r="B758" i="6"/>
  <c r="B757" i="6"/>
  <c r="B756" i="6"/>
  <c r="B755" i="6"/>
  <c r="B754" i="6"/>
  <c r="B753" i="6"/>
  <c r="B752" i="6"/>
  <c r="B751" i="6"/>
  <c r="B750" i="6"/>
  <c r="B749" i="6"/>
  <c r="B748" i="6"/>
  <c r="B747" i="6"/>
  <c r="B746" i="6"/>
  <c r="B745" i="6"/>
  <c r="B744" i="6"/>
  <c r="B743" i="6"/>
  <c r="B742" i="6"/>
  <c r="B741" i="6"/>
  <c r="B740" i="6"/>
  <c r="B739" i="6"/>
  <c r="B738" i="6"/>
  <c r="B737" i="6"/>
  <c r="B736" i="6"/>
  <c r="B735" i="6"/>
  <c r="B734" i="6"/>
  <c r="B733" i="6"/>
  <c r="B732" i="6"/>
  <c r="B731" i="6"/>
  <c r="B730" i="6"/>
  <c r="B729" i="6"/>
  <c r="B728" i="6"/>
  <c r="B727" i="6"/>
  <c r="B726" i="6"/>
  <c r="B725" i="6"/>
  <c r="B724" i="6"/>
  <c r="B723" i="6"/>
  <c r="B722" i="6"/>
  <c r="B721" i="6"/>
  <c r="B720" i="6"/>
  <c r="B719" i="6"/>
  <c r="B718" i="6"/>
  <c r="B717" i="6"/>
  <c r="B716" i="6"/>
  <c r="B715" i="6"/>
  <c r="B714" i="6"/>
  <c r="B713" i="6"/>
  <c r="B712" i="6"/>
  <c r="B711" i="6"/>
  <c r="B710" i="6"/>
  <c r="B709" i="6"/>
  <c r="B708" i="6"/>
  <c r="B707" i="6"/>
  <c r="B706" i="6"/>
  <c r="B705" i="6"/>
  <c r="B704" i="6"/>
  <c r="B703" i="6"/>
  <c r="B702" i="6"/>
  <c r="B701" i="6"/>
  <c r="B700" i="6"/>
  <c r="B699" i="6"/>
  <c r="B698" i="6"/>
  <c r="B697" i="6"/>
  <c r="B696" i="6"/>
  <c r="B695" i="6"/>
  <c r="B694" i="6"/>
  <c r="B693" i="6"/>
  <c r="B692" i="6"/>
  <c r="B691" i="6"/>
  <c r="B690" i="6"/>
  <c r="B689" i="6"/>
  <c r="B688" i="6"/>
  <c r="B687" i="6"/>
  <c r="B686" i="6"/>
  <c r="B685" i="6"/>
  <c r="B684" i="6"/>
  <c r="B683" i="6"/>
  <c r="B682" i="6"/>
  <c r="B681" i="6"/>
  <c r="B680" i="6"/>
  <c r="B679" i="6"/>
  <c r="B678" i="6"/>
  <c r="B677" i="6"/>
  <c r="B676" i="6"/>
  <c r="B675" i="6"/>
  <c r="B674" i="6"/>
  <c r="B673" i="6"/>
  <c r="B672" i="6"/>
  <c r="B671" i="6"/>
  <c r="B670" i="6"/>
  <c r="B669" i="6"/>
  <c r="B668" i="6"/>
  <c r="B667" i="6"/>
  <c r="B666" i="6"/>
  <c r="B665" i="6"/>
  <c r="B664" i="6"/>
  <c r="B663" i="6"/>
  <c r="B662" i="6"/>
  <c r="B661" i="6"/>
  <c r="B660" i="6"/>
  <c r="B659" i="6"/>
  <c r="B658" i="6"/>
  <c r="B657" i="6"/>
  <c r="B656" i="6"/>
  <c r="B655" i="6"/>
  <c r="B654" i="6"/>
  <c r="B653" i="6"/>
  <c r="B652" i="6"/>
  <c r="B651" i="6"/>
  <c r="B650" i="6"/>
  <c r="B649" i="6"/>
  <c r="B648" i="6"/>
  <c r="B647" i="6"/>
  <c r="B646" i="6"/>
  <c r="B645" i="6"/>
  <c r="B644" i="6"/>
  <c r="B643" i="6"/>
  <c r="B642" i="6"/>
  <c r="B641" i="6"/>
  <c r="B640" i="6"/>
  <c r="B639" i="6"/>
  <c r="B638" i="6"/>
  <c r="B637" i="6"/>
  <c r="B636" i="6"/>
  <c r="B635" i="6"/>
  <c r="B634" i="6"/>
  <c r="B633" i="6"/>
  <c r="B632" i="6"/>
  <c r="B631" i="6"/>
  <c r="B630" i="6"/>
  <c r="B629" i="6"/>
  <c r="B628" i="6"/>
  <c r="B627" i="6"/>
  <c r="B626" i="6"/>
  <c r="B625" i="6"/>
  <c r="B624" i="6"/>
  <c r="B623" i="6"/>
  <c r="B622" i="6"/>
  <c r="B621" i="6"/>
  <c r="B620" i="6"/>
  <c r="B619" i="6"/>
  <c r="B618" i="6"/>
  <c r="B617" i="6"/>
  <c r="B616" i="6"/>
  <c r="B615" i="6"/>
  <c r="B614" i="6"/>
  <c r="B613" i="6"/>
  <c r="B612" i="6"/>
  <c r="B611" i="6"/>
  <c r="B610" i="6"/>
  <c r="B609" i="6"/>
  <c r="B608" i="6"/>
  <c r="B607" i="6"/>
  <c r="B606" i="6"/>
  <c r="B605" i="6"/>
  <c r="B604" i="6"/>
  <c r="B603" i="6"/>
  <c r="B602" i="6"/>
  <c r="B601" i="6"/>
  <c r="B600" i="6"/>
  <c r="B599" i="6"/>
  <c r="B598" i="6"/>
  <c r="B597" i="6"/>
  <c r="B596" i="6"/>
  <c r="B595" i="6"/>
  <c r="B594" i="6"/>
  <c r="B593" i="6"/>
  <c r="B592" i="6"/>
  <c r="B591" i="6"/>
  <c r="B590" i="6"/>
  <c r="B589" i="6"/>
  <c r="B588" i="6"/>
  <c r="B587" i="6"/>
  <c r="B586" i="6"/>
  <c r="B585" i="6"/>
  <c r="B584" i="6"/>
  <c r="B583" i="6"/>
  <c r="B582" i="6"/>
  <c r="B581" i="6"/>
  <c r="B580" i="6"/>
  <c r="B579" i="6"/>
  <c r="B578" i="6"/>
  <c r="B577" i="6"/>
  <c r="B576" i="6"/>
  <c r="B575" i="6"/>
  <c r="B57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C208" i="6"/>
  <c r="C209" i="6" s="1"/>
  <c r="C210" i="6" s="1"/>
  <c r="C211" i="6" s="1"/>
  <c r="C212" i="6" s="1"/>
  <c r="C213" i="6" s="1"/>
  <c r="C214" i="6" s="1"/>
  <c r="C215" i="6" s="1"/>
  <c r="C216" i="6" s="1"/>
  <c r="C217" i="6" s="1"/>
  <c r="C218" i="6" s="1"/>
  <c r="C219" i="6" s="1"/>
  <c r="C220" i="6" s="1"/>
  <c r="C221" i="6" s="1"/>
  <c r="C222" i="6" s="1"/>
  <c r="C223" i="6" s="1"/>
  <c r="C224" i="6" s="1"/>
  <c r="C225" i="6" s="1"/>
  <c r="C226" i="6" s="1"/>
  <c r="C227" i="6" s="1"/>
  <c r="C228" i="6" s="1"/>
  <c r="C229" i="6" s="1"/>
  <c r="C230" i="6" s="1"/>
  <c r="C231" i="6" s="1"/>
  <c r="C232" i="6" s="1"/>
  <c r="C233" i="6" s="1"/>
  <c r="C234" i="6" s="1"/>
  <c r="C235" i="6" s="1"/>
  <c r="C236" i="6" s="1"/>
  <c r="C237" i="6" s="1"/>
  <c r="C238" i="6" s="1"/>
  <c r="C239" i="6" s="1"/>
  <c r="C240" i="6" s="1"/>
  <c r="C241" i="6" s="1"/>
  <c r="C242" i="6" s="1"/>
  <c r="C243" i="6" s="1"/>
  <c r="C244" i="6" s="1"/>
  <c r="C245" i="6" s="1"/>
  <c r="C246" i="6" s="1"/>
  <c r="C247" i="6" s="1"/>
  <c r="C248" i="6" s="1"/>
  <c r="C249" i="6" s="1"/>
  <c r="C250" i="6" s="1"/>
  <c r="C251" i="6" s="1"/>
  <c r="C252" i="6" s="1"/>
  <c r="C253" i="6" s="1"/>
  <c r="C254" i="6" s="1"/>
  <c r="C255" i="6" s="1"/>
  <c r="C256" i="6" s="1"/>
  <c r="C257" i="6" s="1"/>
  <c r="C258" i="6" s="1"/>
  <c r="C259" i="6" s="1"/>
  <c r="C260" i="6" s="1"/>
  <c r="C261" i="6" s="1"/>
  <c r="C262" i="6" s="1"/>
  <c r="C263" i="6" s="1"/>
  <c r="C264" i="6" s="1"/>
  <c r="C265" i="6" s="1"/>
  <c r="C266" i="6" s="1"/>
  <c r="C267" i="6" s="1"/>
  <c r="C268" i="6" s="1"/>
  <c r="C269" i="6" s="1"/>
  <c r="C270" i="6" s="1"/>
  <c r="C271" i="6" s="1"/>
  <c r="C272" i="6" s="1"/>
  <c r="C273" i="6" s="1"/>
  <c r="C274" i="6" s="1"/>
  <c r="C275" i="6" s="1"/>
  <c r="C276" i="6" s="1"/>
  <c r="C277" i="6" s="1"/>
  <c r="C278" i="6" s="1"/>
  <c r="C279" i="6" s="1"/>
  <c r="C280" i="6" s="1"/>
  <c r="C281" i="6" s="1"/>
  <c r="C282" i="6" s="1"/>
  <c r="C283" i="6" s="1"/>
  <c r="C284" i="6" s="1"/>
  <c r="C285" i="6" s="1"/>
  <c r="C286" i="6" s="1"/>
  <c r="C287" i="6" s="1"/>
  <c r="C288" i="6" s="1"/>
  <c r="C289" i="6" s="1"/>
  <c r="C290" i="6" s="1"/>
  <c r="C291" i="6" s="1"/>
  <c r="C292" i="6" s="1"/>
  <c r="C293" i="6" s="1"/>
  <c r="C294" i="6" s="1"/>
  <c r="C295" i="6" s="1"/>
  <c r="C296" i="6" s="1"/>
  <c r="C297" i="6" s="1"/>
  <c r="C298" i="6" s="1"/>
  <c r="C299" i="6" s="1"/>
  <c r="C300" i="6" s="1"/>
  <c r="C301" i="6" s="1"/>
  <c r="C302" i="6" s="1"/>
  <c r="C303" i="6" s="1"/>
  <c r="C304" i="6" s="1"/>
  <c r="C305" i="6" s="1"/>
  <c r="C306" i="6" s="1"/>
  <c r="C307" i="6" s="1"/>
  <c r="C308" i="6" s="1"/>
  <c r="C309" i="6" s="1"/>
  <c r="C310" i="6" s="1"/>
  <c r="C311" i="6" s="1"/>
  <c r="C312" i="6" s="1"/>
  <c r="C313" i="6" s="1"/>
  <c r="C314" i="6" s="1"/>
  <c r="C315" i="6" s="1"/>
  <c r="C316" i="6" s="1"/>
  <c r="C317" i="6" s="1"/>
  <c r="C318" i="6" s="1"/>
  <c r="C319" i="6" s="1"/>
  <c r="C320" i="6" s="1"/>
  <c r="C321" i="6" s="1"/>
  <c r="C322" i="6" s="1"/>
  <c r="C323" i="6" s="1"/>
  <c r="C324" i="6" s="1"/>
  <c r="C325" i="6" s="1"/>
  <c r="C326" i="6" s="1"/>
  <c r="C327" i="6" s="1"/>
  <c r="C328" i="6" s="1"/>
  <c r="C329" i="6" s="1"/>
  <c r="C330" i="6" s="1"/>
  <c r="C331" i="6" s="1"/>
  <c r="C332" i="6" s="1"/>
  <c r="C333" i="6" s="1"/>
  <c r="C334" i="6" s="1"/>
  <c r="C335" i="6" s="1"/>
  <c r="C336" i="6" s="1"/>
  <c r="C337" i="6" s="1"/>
  <c r="C338" i="6" s="1"/>
  <c r="C339" i="6" s="1"/>
  <c r="C340" i="6" s="1"/>
  <c r="C341" i="6" s="1"/>
  <c r="C342" i="6" s="1"/>
  <c r="C343" i="6" s="1"/>
  <c r="C344" i="6" s="1"/>
  <c r="C345" i="6" s="1"/>
  <c r="C346" i="6" s="1"/>
  <c r="C347" i="6" s="1"/>
  <c r="C348" i="6" s="1"/>
  <c r="C349" i="6" s="1"/>
  <c r="C350" i="6" s="1"/>
  <c r="C351" i="6" s="1"/>
  <c r="C352" i="6" s="1"/>
  <c r="C353" i="6" s="1"/>
  <c r="C354" i="6" s="1"/>
  <c r="C355" i="6" s="1"/>
  <c r="C356" i="6" s="1"/>
  <c r="C357" i="6" s="1"/>
  <c r="C358" i="6" s="1"/>
  <c r="C359" i="6" s="1"/>
  <c r="C360" i="6" s="1"/>
  <c r="C361" i="6" s="1"/>
  <c r="C362" i="6" s="1"/>
  <c r="C363" i="6" s="1"/>
  <c r="C364" i="6" s="1"/>
  <c r="C365" i="6" s="1"/>
  <c r="C366" i="6" s="1"/>
  <c r="C367" i="6" s="1"/>
  <c r="C368" i="6" s="1"/>
  <c r="C369" i="6" s="1"/>
  <c r="C370" i="6" s="1"/>
  <c r="C371" i="6" s="1"/>
  <c r="C372" i="6" s="1"/>
  <c r="C373" i="6" s="1"/>
  <c r="C374" i="6" s="1"/>
  <c r="C375" i="6" s="1"/>
  <c r="C376" i="6" s="1"/>
  <c r="C377" i="6" s="1"/>
  <c r="C378" i="6" s="1"/>
  <c r="C379" i="6" s="1"/>
  <c r="C380" i="6" s="1"/>
  <c r="C381" i="6" s="1"/>
  <c r="C382" i="6" s="1"/>
  <c r="C383" i="6" s="1"/>
  <c r="C384" i="6" s="1"/>
  <c r="C385" i="6" s="1"/>
  <c r="C386" i="6" s="1"/>
  <c r="C387" i="6" s="1"/>
  <c r="C388" i="6" s="1"/>
  <c r="C389" i="6" s="1"/>
  <c r="C390" i="6" s="1"/>
  <c r="C391" i="6" s="1"/>
  <c r="C392" i="6" s="1"/>
  <c r="C393" i="6" s="1"/>
  <c r="C394" i="6" s="1"/>
  <c r="C395" i="6" s="1"/>
  <c r="C396" i="6" s="1"/>
  <c r="C397" i="6" s="1"/>
  <c r="C398" i="6" s="1"/>
  <c r="C399" i="6" s="1"/>
  <c r="C400" i="6" s="1"/>
  <c r="C401" i="6" s="1"/>
  <c r="C402" i="6" s="1"/>
  <c r="C403" i="6" s="1"/>
  <c r="C404" i="6" s="1"/>
  <c r="C405" i="6" s="1"/>
  <c r="C406" i="6" s="1"/>
  <c r="C407" i="6" s="1"/>
  <c r="C408" i="6" s="1"/>
  <c r="C409" i="6" s="1"/>
  <c r="C410" i="6" s="1"/>
  <c r="C411" i="6" s="1"/>
  <c r="C412" i="6" s="1"/>
  <c r="C413" i="6" s="1"/>
  <c r="C414" i="6" s="1"/>
  <c r="C415" i="6" s="1"/>
  <c r="C416" i="6" s="1"/>
  <c r="C417" i="6" s="1"/>
  <c r="C418" i="6" s="1"/>
  <c r="C419" i="6" s="1"/>
  <c r="C420" i="6" s="1"/>
  <c r="C421" i="6" s="1"/>
  <c r="C422" i="6" s="1"/>
  <c r="C423" i="6" s="1"/>
  <c r="C424" i="6" s="1"/>
  <c r="C425" i="6" s="1"/>
  <c r="C426" i="6" s="1"/>
  <c r="C427" i="6" s="1"/>
  <c r="C428" i="6" s="1"/>
  <c r="C429" i="6" s="1"/>
  <c r="C430" i="6" s="1"/>
  <c r="C431" i="6" s="1"/>
  <c r="C432" i="6" s="1"/>
  <c r="C433" i="6" s="1"/>
  <c r="C434" i="6" s="1"/>
  <c r="C435" i="6" s="1"/>
  <c r="C436" i="6" s="1"/>
  <c r="C437" i="6" s="1"/>
  <c r="C438" i="6" s="1"/>
  <c r="C439" i="6" s="1"/>
  <c r="C440" i="6" s="1"/>
  <c r="C441" i="6" s="1"/>
  <c r="C442" i="6" s="1"/>
  <c r="C443" i="6" s="1"/>
  <c r="C444" i="6" s="1"/>
  <c r="C445" i="6" s="1"/>
  <c r="C446" i="6" s="1"/>
  <c r="C447" i="6" s="1"/>
  <c r="C448" i="6" s="1"/>
  <c r="C449" i="6" s="1"/>
  <c r="C450" i="6" s="1"/>
  <c r="C451" i="6" s="1"/>
  <c r="C452" i="6" s="1"/>
  <c r="C453" i="6" s="1"/>
  <c r="C454" i="6" s="1"/>
  <c r="C455" i="6" s="1"/>
  <c r="C456" i="6" s="1"/>
  <c r="C457" i="6" s="1"/>
  <c r="C458" i="6" s="1"/>
  <c r="C459" i="6" s="1"/>
  <c r="C460" i="6" s="1"/>
  <c r="C461" i="6" s="1"/>
  <c r="C462" i="6" s="1"/>
  <c r="C463" i="6" s="1"/>
  <c r="C464" i="6" s="1"/>
  <c r="C465" i="6" s="1"/>
  <c r="C466" i="6" s="1"/>
  <c r="C467" i="6" s="1"/>
  <c r="C468" i="6" s="1"/>
  <c r="C469" i="6" s="1"/>
  <c r="C470" i="6" s="1"/>
  <c r="C471" i="6" s="1"/>
  <c r="C472" i="6" s="1"/>
  <c r="C473" i="6" s="1"/>
  <c r="C474" i="6" s="1"/>
  <c r="C475" i="6" s="1"/>
  <c r="C476" i="6" s="1"/>
  <c r="C477" i="6" s="1"/>
  <c r="C478" i="6" s="1"/>
  <c r="C479" i="6" s="1"/>
  <c r="C480" i="6" s="1"/>
  <c r="C481" i="6" s="1"/>
  <c r="C482" i="6" s="1"/>
  <c r="C483" i="6" s="1"/>
  <c r="C484" i="6" s="1"/>
  <c r="C485" i="6" s="1"/>
  <c r="C486" i="6" s="1"/>
  <c r="C487" i="6" s="1"/>
  <c r="C488" i="6" s="1"/>
  <c r="C489" i="6" s="1"/>
  <c r="C490" i="6" s="1"/>
  <c r="C491" i="6" s="1"/>
  <c r="C492" i="6" s="1"/>
  <c r="C493" i="6" s="1"/>
  <c r="C494" i="6" s="1"/>
  <c r="C495" i="6" s="1"/>
  <c r="C496" i="6" s="1"/>
  <c r="C497" i="6" s="1"/>
  <c r="C498" i="6" s="1"/>
  <c r="C499" i="6" s="1"/>
  <c r="C500" i="6" s="1"/>
  <c r="C501" i="6" s="1"/>
  <c r="C502" i="6" s="1"/>
  <c r="C503" i="6" s="1"/>
  <c r="C504" i="6" s="1"/>
  <c r="C505" i="6" s="1"/>
  <c r="C506" i="6" s="1"/>
  <c r="C507" i="6" s="1"/>
  <c r="C508" i="6" s="1"/>
  <c r="C509" i="6" s="1"/>
  <c r="C510" i="6" s="1"/>
  <c r="C511" i="6" s="1"/>
  <c r="C512" i="6" s="1"/>
  <c r="C513" i="6" s="1"/>
  <c r="C514" i="6" s="1"/>
  <c r="C515" i="6" s="1"/>
  <c r="C516" i="6" s="1"/>
  <c r="C517" i="6" s="1"/>
  <c r="C518" i="6" s="1"/>
  <c r="C519" i="6" s="1"/>
  <c r="C520" i="6" s="1"/>
  <c r="C521" i="6" s="1"/>
  <c r="C522" i="6" s="1"/>
  <c r="C523" i="6" s="1"/>
  <c r="C524" i="6" s="1"/>
  <c r="C525" i="6" s="1"/>
  <c r="C526" i="6" s="1"/>
  <c r="C527" i="6" s="1"/>
  <c r="C528" i="6" s="1"/>
  <c r="C529" i="6" s="1"/>
  <c r="C530" i="6" s="1"/>
  <c r="C531" i="6" s="1"/>
  <c r="C532" i="6" s="1"/>
  <c r="C533" i="6" s="1"/>
  <c r="C534" i="6" s="1"/>
  <c r="C535" i="6" s="1"/>
  <c r="C536" i="6" s="1"/>
  <c r="C537" i="6" s="1"/>
  <c r="C538" i="6" s="1"/>
  <c r="C539" i="6" s="1"/>
  <c r="C540" i="6" s="1"/>
  <c r="C541" i="6" s="1"/>
  <c r="C542" i="6" s="1"/>
  <c r="C543" i="6" s="1"/>
  <c r="C544" i="6" s="1"/>
  <c r="C545" i="6" s="1"/>
  <c r="C546" i="6" s="1"/>
  <c r="C547" i="6" s="1"/>
  <c r="C548" i="6" s="1"/>
  <c r="C549" i="6" s="1"/>
  <c r="C550" i="6" s="1"/>
  <c r="C551" i="6" s="1"/>
  <c r="C552" i="6" s="1"/>
  <c r="C553" i="6" s="1"/>
  <c r="C554" i="6" s="1"/>
  <c r="C555" i="6" s="1"/>
  <c r="C556" i="6" s="1"/>
  <c r="C557" i="6" s="1"/>
  <c r="C558" i="6" s="1"/>
  <c r="C559" i="6" s="1"/>
  <c r="C560" i="6" s="1"/>
  <c r="C561" i="6" s="1"/>
  <c r="C562" i="6" s="1"/>
  <c r="C563" i="6" s="1"/>
  <c r="C564" i="6" s="1"/>
  <c r="C565" i="6" s="1"/>
  <c r="C566" i="6" s="1"/>
  <c r="C567" i="6" s="1"/>
  <c r="C568" i="6" s="1"/>
  <c r="C569" i="6" s="1"/>
  <c r="C570" i="6" s="1"/>
  <c r="C571" i="6" s="1"/>
  <c r="C572" i="6" s="1"/>
  <c r="C573" i="6" s="1"/>
  <c r="C574" i="6" s="1"/>
  <c r="C575" i="6" s="1"/>
  <c r="C576" i="6" s="1"/>
  <c r="C577" i="6" s="1"/>
  <c r="C578" i="6" s="1"/>
  <c r="C579" i="6" s="1"/>
  <c r="C580" i="6" s="1"/>
  <c r="C581" i="6" s="1"/>
  <c r="C582" i="6" s="1"/>
  <c r="C583" i="6" s="1"/>
  <c r="C584" i="6" s="1"/>
  <c r="C585" i="6" s="1"/>
  <c r="C586" i="6" s="1"/>
  <c r="C587" i="6" s="1"/>
  <c r="C588" i="6" s="1"/>
  <c r="C589" i="6" s="1"/>
  <c r="C590" i="6" s="1"/>
  <c r="C591" i="6" s="1"/>
  <c r="C592" i="6" s="1"/>
  <c r="C593" i="6" s="1"/>
  <c r="C594" i="6" s="1"/>
  <c r="C595" i="6" s="1"/>
  <c r="C596" i="6" s="1"/>
  <c r="C597" i="6" s="1"/>
  <c r="C598" i="6" s="1"/>
  <c r="C599" i="6" s="1"/>
  <c r="C600" i="6" s="1"/>
  <c r="C601" i="6" s="1"/>
  <c r="C602" i="6" s="1"/>
  <c r="C603" i="6" s="1"/>
  <c r="C604" i="6" s="1"/>
  <c r="C605" i="6" s="1"/>
  <c r="C606" i="6" s="1"/>
  <c r="C607" i="6" s="1"/>
  <c r="C608" i="6" s="1"/>
  <c r="C609" i="6" s="1"/>
  <c r="C610" i="6" s="1"/>
  <c r="C611" i="6" s="1"/>
  <c r="C612" i="6" s="1"/>
  <c r="C613" i="6" s="1"/>
  <c r="C614" i="6" s="1"/>
  <c r="C615" i="6" s="1"/>
  <c r="C616" i="6" s="1"/>
  <c r="C617" i="6" s="1"/>
  <c r="C618" i="6" s="1"/>
  <c r="C619" i="6" s="1"/>
  <c r="C620" i="6" s="1"/>
  <c r="C621" i="6" s="1"/>
  <c r="C622" i="6" s="1"/>
  <c r="C623" i="6" s="1"/>
  <c r="C624" i="6" s="1"/>
  <c r="C625" i="6" s="1"/>
  <c r="C626" i="6" s="1"/>
  <c r="C627" i="6" s="1"/>
  <c r="C628" i="6" s="1"/>
  <c r="C629" i="6" s="1"/>
  <c r="C630" i="6" s="1"/>
  <c r="C631" i="6" s="1"/>
  <c r="C632" i="6" s="1"/>
  <c r="C633" i="6" s="1"/>
  <c r="C634" i="6" s="1"/>
  <c r="C635" i="6" s="1"/>
  <c r="C636" i="6" s="1"/>
  <c r="C637" i="6" s="1"/>
  <c r="C638" i="6" s="1"/>
  <c r="C639" i="6" s="1"/>
  <c r="C640" i="6" s="1"/>
  <c r="C641" i="6" s="1"/>
  <c r="C642" i="6" s="1"/>
  <c r="C643" i="6" s="1"/>
  <c r="C644" i="6" s="1"/>
  <c r="C645" i="6" s="1"/>
  <c r="C646" i="6" s="1"/>
  <c r="C647" i="6" s="1"/>
  <c r="C648" i="6" s="1"/>
  <c r="C649" i="6" s="1"/>
  <c r="C650" i="6" s="1"/>
  <c r="C651" i="6" s="1"/>
  <c r="C652" i="6" s="1"/>
  <c r="C653" i="6" s="1"/>
  <c r="C654" i="6" s="1"/>
  <c r="C655" i="6" s="1"/>
  <c r="C656" i="6" s="1"/>
  <c r="C657" i="6" s="1"/>
  <c r="C658" i="6" s="1"/>
  <c r="C659" i="6" s="1"/>
  <c r="C660" i="6" s="1"/>
  <c r="C661" i="6" s="1"/>
  <c r="C662" i="6" s="1"/>
  <c r="C663" i="6" s="1"/>
  <c r="C664" i="6" s="1"/>
  <c r="C665" i="6" s="1"/>
  <c r="C666" i="6" s="1"/>
  <c r="C667" i="6" s="1"/>
  <c r="C668" i="6" s="1"/>
  <c r="C669" i="6" s="1"/>
  <c r="C670" i="6" s="1"/>
  <c r="C671" i="6" s="1"/>
  <c r="C672" i="6" s="1"/>
  <c r="C673" i="6" s="1"/>
  <c r="C674" i="6" s="1"/>
  <c r="C675" i="6" s="1"/>
  <c r="C676" i="6" s="1"/>
  <c r="C677" i="6" s="1"/>
  <c r="C678" i="6" s="1"/>
  <c r="C679" i="6" s="1"/>
  <c r="C680" i="6" s="1"/>
  <c r="C681" i="6" s="1"/>
  <c r="C682" i="6" s="1"/>
  <c r="C683" i="6" s="1"/>
  <c r="C684" i="6" s="1"/>
  <c r="C685" i="6" s="1"/>
  <c r="C686" i="6" s="1"/>
  <c r="C687" i="6" s="1"/>
  <c r="C688" i="6" s="1"/>
  <c r="C689" i="6" s="1"/>
  <c r="C690" i="6" s="1"/>
  <c r="C691" i="6" s="1"/>
  <c r="C692" i="6" s="1"/>
  <c r="C693" i="6" s="1"/>
  <c r="C694" i="6" s="1"/>
  <c r="C695" i="6" s="1"/>
  <c r="C696" i="6" s="1"/>
  <c r="C697" i="6" s="1"/>
  <c r="C698" i="6" s="1"/>
  <c r="C699" i="6" s="1"/>
  <c r="C700" i="6" s="1"/>
  <c r="C701" i="6" s="1"/>
  <c r="C702" i="6" s="1"/>
  <c r="C703" i="6" s="1"/>
  <c r="C704" i="6" s="1"/>
  <c r="C705" i="6" s="1"/>
  <c r="C706" i="6" s="1"/>
  <c r="C707" i="6" s="1"/>
  <c r="C708" i="6" s="1"/>
  <c r="C709" i="6" s="1"/>
  <c r="C710" i="6" s="1"/>
  <c r="C711" i="6" s="1"/>
  <c r="C712" i="6" s="1"/>
  <c r="C713" i="6" s="1"/>
  <c r="C714" i="6" s="1"/>
  <c r="C715" i="6" s="1"/>
  <c r="C716" i="6" s="1"/>
  <c r="C717" i="6" s="1"/>
  <c r="C718" i="6" s="1"/>
  <c r="C719" i="6" s="1"/>
  <c r="C720" i="6" s="1"/>
  <c r="C721" i="6" s="1"/>
  <c r="C722" i="6" s="1"/>
  <c r="C723" i="6" s="1"/>
  <c r="C724" i="6" s="1"/>
  <c r="C725" i="6" s="1"/>
  <c r="C726" i="6" s="1"/>
  <c r="C727" i="6" s="1"/>
  <c r="C728" i="6" s="1"/>
  <c r="C729" i="6" s="1"/>
  <c r="C730" i="6" s="1"/>
  <c r="C731" i="6" s="1"/>
  <c r="C732" i="6" s="1"/>
  <c r="C733" i="6" s="1"/>
  <c r="C734" i="6" s="1"/>
  <c r="C735" i="6" s="1"/>
  <c r="C736" i="6" s="1"/>
  <c r="C737" i="6" s="1"/>
  <c r="C738" i="6" s="1"/>
  <c r="C739" i="6" s="1"/>
  <c r="C740" i="6" s="1"/>
  <c r="C741" i="6" s="1"/>
  <c r="C742" i="6" s="1"/>
  <c r="C743" i="6" s="1"/>
  <c r="C744" i="6" s="1"/>
  <c r="C745" i="6" s="1"/>
  <c r="C746" i="6" s="1"/>
  <c r="C747" i="6" s="1"/>
  <c r="C748" i="6" s="1"/>
  <c r="C749" i="6" s="1"/>
  <c r="C750" i="6" s="1"/>
  <c r="C751" i="6" s="1"/>
  <c r="C752" i="6" s="1"/>
  <c r="C753" i="6" s="1"/>
  <c r="C754" i="6" s="1"/>
  <c r="C755" i="6" s="1"/>
  <c r="C756" i="6" s="1"/>
  <c r="C757" i="6" s="1"/>
  <c r="C758" i="6" s="1"/>
  <c r="C759" i="6" s="1"/>
  <c r="C760" i="6" s="1"/>
  <c r="C761" i="6" s="1"/>
  <c r="C762" i="6" s="1"/>
  <c r="C763" i="6" s="1"/>
  <c r="C764" i="6" s="1"/>
  <c r="C765" i="6" s="1"/>
  <c r="C766" i="6" s="1"/>
  <c r="C767" i="6" s="1"/>
  <c r="C768" i="6" s="1"/>
  <c r="C769" i="6" s="1"/>
  <c r="C770" i="6" s="1"/>
  <c r="C771" i="6" s="1"/>
  <c r="C772" i="6" s="1"/>
  <c r="C773" i="6" s="1"/>
  <c r="C774" i="6" s="1"/>
  <c r="C775" i="6" s="1"/>
  <c r="C776" i="6" s="1"/>
  <c r="C777" i="6" s="1"/>
  <c r="C778" i="6" s="1"/>
  <c r="C779" i="6" s="1"/>
  <c r="C780" i="6" s="1"/>
  <c r="C781" i="6" s="1"/>
  <c r="C782" i="6" s="1"/>
  <c r="C783" i="6" s="1"/>
  <c r="C784" i="6" s="1"/>
  <c r="C785" i="6" s="1"/>
  <c r="C786" i="6" s="1"/>
  <c r="C787" i="6" s="1"/>
  <c r="C788" i="6" s="1"/>
  <c r="C789" i="6" s="1"/>
  <c r="C790" i="6" s="1"/>
  <c r="C791" i="6" s="1"/>
  <c r="C792" i="6" s="1"/>
  <c r="C793" i="6" s="1"/>
  <c r="C794" i="6" s="1"/>
  <c r="C795" i="6" s="1"/>
  <c r="C796" i="6" s="1"/>
  <c r="C797" i="6" s="1"/>
  <c r="C798" i="6" s="1"/>
  <c r="C799" i="6" s="1"/>
  <c r="C800" i="6" s="1"/>
  <c r="C801" i="6" s="1"/>
  <c r="B208" i="6"/>
  <c r="B207" i="6"/>
  <c r="B206" i="6"/>
  <c r="B205" i="6"/>
  <c r="C204" i="6"/>
  <c r="C205" i="6" s="1"/>
  <c r="C206" i="6" s="1"/>
  <c r="C207" i="6" s="1"/>
  <c r="B204" i="6"/>
  <c r="B801" i="4"/>
  <c r="B800" i="4"/>
  <c r="B799" i="4"/>
  <c r="B798" i="4"/>
  <c r="B797" i="4"/>
  <c r="B796" i="4"/>
  <c r="B795" i="4"/>
  <c r="B794" i="4"/>
  <c r="B793" i="4"/>
  <c r="B792" i="4"/>
  <c r="B791" i="4"/>
  <c r="B790" i="4"/>
  <c r="B789" i="4"/>
  <c r="B788" i="4"/>
  <c r="B787" i="4"/>
  <c r="B786" i="4"/>
  <c r="B785" i="4"/>
  <c r="B784" i="4"/>
  <c r="B783" i="4"/>
  <c r="B782" i="4"/>
  <c r="B781" i="4"/>
  <c r="B780" i="4"/>
  <c r="B779" i="4"/>
  <c r="B778" i="4"/>
  <c r="B777" i="4"/>
  <c r="B776" i="4"/>
  <c r="B775" i="4"/>
  <c r="B774" i="4"/>
  <c r="B773" i="4"/>
  <c r="B772" i="4"/>
  <c r="B771" i="4"/>
  <c r="B770" i="4"/>
  <c r="B769" i="4"/>
  <c r="B768" i="4"/>
  <c r="B767" i="4"/>
  <c r="B766" i="4"/>
  <c r="B765" i="4"/>
  <c r="B764" i="4"/>
  <c r="B763" i="4"/>
  <c r="B762" i="4"/>
  <c r="B761" i="4"/>
  <c r="B760" i="4"/>
  <c r="B759" i="4"/>
  <c r="B758" i="4"/>
  <c r="B757" i="4"/>
  <c r="B756" i="4"/>
  <c r="B755" i="4"/>
  <c r="B754" i="4"/>
  <c r="B753" i="4"/>
  <c r="B752" i="4"/>
  <c r="B751" i="4"/>
  <c r="B750" i="4"/>
  <c r="B749" i="4"/>
  <c r="B748" i="4"/>
  <c r="B747" i="4"/>
  <c r="B746" i="4"/>
  <c r="B745" i="4"/>
  <c r="B744" i="4"/>
  <c r="B743" i="4"/>
  <c r="B742" i="4"/>
  <c r="B741" i="4"/>
  <c r="B740" i="4"/>
  <c r="B739" i="4"/>
  <c r="B738" i="4"/>
  <c r="B737" i="4"/>
  <c r="B736" i="4"/>
  <c r="B735" i="4"/>
  <c r="B734" i="4"/>
  <c r="B733" i="4"/>
  <c r="B732" i="4"/>
  <c r="B731" i="4"/>
  <c r="B730" i="4"/>
  <c r="B729" i="4"/>
  <c r="B728" i="4"/>
  <c r="B727" i="4"/>
  <c r="B726" i="4"/>
  <c r="B725" i="4"/>
  <c r="B724" i="4"/>
  <c r="B723" i="4"/>
  <c r="B722" i="4"/>
  <c r="B721" i="4"/>
  <c r="B720" i="4"/>
  <c r="B719" i="4"/>
  <c r="B718" i="4"/>
  <c r="B717" i="4"/>
  <c r="B716" i="4"/>
  <c r="B715" i="4"/>
  <c r="B714" i="4"/>
  <c r="B713" i="4"/>
  <c r="B712" i="4"/>
  <c r="B711" i="4"/>
  <c r="B710" i="4"/>
  <c r="B709" i="4"/>
  <c r="B708" i="4"/>
  <c r="B707" i="4"/>
  <c r="B706" i="4"/>
  <c r="B705" i="4"/>
  <c r="B704" i="4"/>
  <c r="B703" i="4"/>
  <c r="B702" i="4"/>
  <c r="B701" i="4"/>
  <c r="B700" i="4"/>
  <c r="B699" i="4"/>
  <c r="B698" i="4"/>
  <c r="B697" i="4"/>
  <c r="B696" i="4"/>
  <c r="B695" i="4"/>
  <c r="B694" i="4"/>
  <c r="B693" i="4"/>
  <c r="B692" i="4"/>
  <c r="B691" i="4"/>
  <c r="B690" i="4"/>
  <c r="B689" i="4"/>
  <c r="B688" i="4"/>
  <c r="B687" i="4"/>
  <c r="B686" i="4"/>
  <c r="B685" i="4"/>
  <c r="B684" i="4"/>
  <c r="B683" i="4"/>
  <c r="B682" i="4"/>
  <c r="B681" i="4"/>
  <c r="B680" i="4"/>
  <c r="B679" i="4"/>
  <c r="B678" i="4"/>
  <c r="B677" i="4"/>
  <c r="B676" i="4"/>
  <c r="B675" i="4"/>
  <c r="B674" i="4"/>
  <c r="B673" i="4"/>
  <c r="B672" i="4"/>
  <c r="B671" i="4"/>
  <c r="B670" i="4"/>
  <c r="B669" i="4"/>
  <c r="B668" i="4"/>
  <c r="B667" i="4"/>
  <c r="B666" i="4"/>
  <c r="B665" i="4"/>
  <c r="B664" i="4"/>
  <c r="B663" i="4"/>
  <c r="B662" i="4"/>
  <c r="B661" i="4"/>
  <c r="B660" i="4"/>
  <c r="B659" i="4"/>
  <c r="B658" i="4"/>
  <c r="B657" i="4"/>
  <c r="B656" i="4"/>
  <c r="B655" i="4"/>
  <c r="B654" i="4"/>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B593" i="4"/>
  <c r="B592" i="4"/>
  <c r="B591" i="4"/>
  <c r="B590" i="4"/>
  <c r="B589" i="4"/>
  <c r="B588" i="4"/>
  <c r="B587" i="4"/>
  <c r="B586" i="4"/>
  <c r="B585" i="4"/>
  <c r="B584" i="4"/>
  <c r="B583" i="4"/>
  <c r="B582" i="4"/>
  <c r="B581" i="4"/>
  <c r="B580" i="4"/>
  <c r="B579" i="4"/>
  <c r="B578" i="4"/>
  <c r="B577" i="4"/>
  <c r="B576" i="4"/>
  <c r="B575" i="4"/>
  <c r="B574" i="4"/>
  <c r="B573" i="4"/>
  <c r="B572" i="4"/>
  <c r="B571" i="4"/>
  <c r="B570" i="4"/>
  <c r="B569" i="4"/>
  <c r="B568" i="4"/>
  <c r="B567" i="4"/>
  <c r="B566" i="4"/>
  <c r="B565" i="4"/>
  <c r="B564" i="4"/>
  <c r="B563" i="4"/>
  <c r="B562" i="4"/>
  <c r="B561" i="4"/>
  <c r="B560" i="4"/>
  <c r="B559" i="4"/>
  <c r="B558" i="4"/>
  <c r="B557" i="4"/>
  <c r="B556" i="4"/>
  <c r="B555" i="4"/>
  <c r="B554" i="4"/>
  <c r="B553" i="4"/>
  <c r="B552" i="4"/>
  <c r="B551" i="4"/>
  <c r="B550" i="4"/>
  <c r="B549" i="4"/>
  <c r="B548" i="4"/>
  <c r="B547" i="4"/>
  <c r="B546" i="4"/>
  <c r="B545" i="4"/>
  <c r="B544" i="4"/>
  <c r="B543" i="4"/>
  <c r="B542" i="4"/>
  <c r="B541" i="4"/>
  <c r="B540" i="4"/>
  <c r="B539" i="4"/>
  <c r="B538" i="4"/>
  <c r="B537" i="4"/>
  <c r="B536" i="4"/>
  <c r="B535" i="4"/>
  <c r="B534" i="4"/>
  <c r="B533" i="4"/>
  <c r="B532" i="4"/>
  <c r="B531" i="4"/>
  <c r="B530" i="4"/>
  <c r="B529" i="4"/>
  <c r="B528" i="4"/>
  <c r="B527" i="4"/>
  <c r="B526" i="4"/>
  <c r="B525" i="4"/>
  <c r="B524" i="4"/>
  <c r="B523" i="4"/>
  <c r="B522" i="4"/>
  <c r="B521" i="4"/>
  <c r="B520" i="4"/>
  <c r="B519" i="4"/>
  <c r="B518" i="4"/>
  <c r="B517" i="4"/>
  <c r="B516" i="4"/>
  <c r="B515" i="4"/>
  <c r="B514" i="4"/>
  <c r="B513" i="4"/>
  <c r="B512" i="4"/>
  <c r="B511" i="4"/>
  <c r="B510" i="4"/>
  <c r="B509" i="4"/>
  <c r="B508" i="4"/>
  <c r="B507" i="4"/>
  <c r="B506" i="4"/>
  <c r="B505" i="4"/>
  <c r="B504" i="4"/>
  <c r="B503" i="4"/>
  <c r="B502" i="4"/>
  <c r="B501" i="4"/>
  <c r="B500" i="4"/>
  <c r="B499" i="4"/>
  <c r="B498" i="4"/>
  <c r="B497" i="4"/>
  <c r="B496" i="4"/>
  <c r="B495" i="4"/>
  <c r="B494" i="4"/>
  <c r="B493" i="4"/>
  <c r="B492" i="4"/>
  <c r="B491" i="4"/>
  <c r="B490" i="4"/>
  <c r="B489" i="4"/>
  <c r="B488" i="4"/>
  <c r="B487" i="4"/>
  <c r="B486" i="4"/>
  <c r="B485" i="4"/>
  <c r="B484" i="4"/>
  <c r="B483" i="4"/>
  <c r="B482" i="4"/>
  <c r="B481" i="4"/>
  <c r="B480" i="4"/>
  <c r="B479" i="4"/>
  <c r="B478" i="4"/>
  <c r="B477" i="4"/>
  <c r="B476" i="4"/>
  <c r="B475" i="4"/>
  <c r="B474" i="4"/>
  <c r="B473" i="4"/>
  <c r="B472" i="4"/>
  <c r="B471" i="4"/>
  <c r="B470" i="4"/>
  <c r="B469" i="4"/>
  <c r="B468" i="4"/>
  <c r="B467" i="4"/>
  <c r="B466" i="4"/>
  <c r="B465" i="4"/>
  <c r="B464" i="4"/>
  <c r="B463" i="4"/>
  <c r="B462" i="4"/>
  <c r="B461" i="4"/>
  <c r="B460" i="4"/>
  <c r="B459" i="4"/>
  <c r="B458" i="4"/>
  <c r="B457" i="4"/>
  <c r="B456" i="4"/>
  <c r="B455" i="4"/>
  <c r="B454" i="4"/>
  <c r="B453" i="4"/>
  <c r="B452" i="4"/>
  <c r="B451" i="4"/>
  <c r="B450" i="4"/>
  <c r="B449" i="4"/>
  <c r="B448" i="4"/>
  <c r="B447" i="4"/>
  <c r="B446" i="4"/>
  <c r="B445" i="4"/>
  <c r="B444" i="4"/>
  <c r="B443" i="4"/>
  <c r="B442" i="4"/>
  <c r="B441" i="4"/>
  <c r="B440" i="4"/>
  <c r="B439" i="4"/>
  <c r="B438" i="4"/>
  <c r="B437" i="4"/>
  <c r="B436" i="4"/>
  <c r="B435" i="4"/>
  <c r="B434" i="4"/>
  <c r="B433" i="4"/>
  <c r="B432" i="4"/>
  <c r="B431" i="4"/>
  <c r="B430" i="4"/>
  <c r="B429" i="4"/>
  <c r="B428" i="4"/>
  <c r="B427" i="4"/>
  <c r="B426" i="4"/>
  <c r="B425" i="4"/>
  <c r="B424" i="4"/>
  <c r="B423" i="4"/>
  <c r="B422" i="4"/>
  <c r="B421" i="4"/>
  <c r="B420" i="4"/>
  <c r="B419" i="4"/>
  <c r="B418" i="4"/>
  <c r="B417" i="4"/>
  <c r="B416" i="4"/>
  <c r="B415" i="4"/>
  <c r="B414" i="4"/>
  <c r="B413" i="4"/>
  <c r="B412" i="4"/>
  <c r="B411" i="4"/>
  <c r="B410" i="4"/>
  <c r="B409" i="4"/>
  <c r="B408" i="4"/>
  <c r="B407" i="4"/>
  <c r="B406" i="4"/>
  <c r="B405" i="4"/>
  <c r="B404" i="4"/>
  <c r="B403" i="4"/>
  <c r="B402" i="4"/>
  <c r="B401" i="4"/>
  <c r="B400" i="4"/>
  <c r="B399" i="4"/>
  <c r="B398" i="4"/>
  <c r="B397" i="4"/>
  <c r="B396" i="4"/>
  <c r="B395" i="4"/>
  <c r="B394" i="4"/>
  <c r="B393" i="4"/>
  <c r="B392" i="4"/>
  <c r="B391" i="4"/>
  <c r="B390" i="4"/>
  <c r="B389" i="4"/>
  <c r="B388" i="4"/>
  <c r="B387" i="4"/>
  <c r="B386" i="4"/>
  <c r="B385" i="4"/>
  <c r="B384" i="4"/>
  <c r="B383" i="4"/>
  <c r="B382" i="4"/>
  <c r="B381" i="4"/>
  <c r="B380" i="4"/>
  <c r="B379" i="4"/>
  <c r="B378" i="4"/>
  <c r="B377" i="4"/>
  <c r="B376" i="4"/>
  <c r="B375" i="4"/>
  <c r="B374" i="4"/>
  <c r="B373" i="4"/>
  <c r="B372" i="4"/>
  <c r="B371" i="4"/>
  <c r="B370" i="4"/>
  <c r="B369" i="4"/>
  <c r="B368" i="4"/>
  <c r="B367" i="4"/>
  <c r="B366" i="4"/>
  <c r="B365" i="4"/>
  <c r="B364" i="4"/>
  <c r="B363" i="4"/>
  <c r="B362" i="4"/>
  <c r="B361" i="4"/>
  <c r="B360" i="4"/>
  <c r="B359" i="4"/>
  <c r="B358" i="4"/>
  <c r="B357" i="4"/>
  <c r="B356" i="4"/>
  <c r="B355" i="4"/>
  <c r="B354" i="4"/>
  <c r="B353" i="4"/>
  <c r="B352" i="4"/>
  <c r="B351" i="4"/>
  <c r="B350" i="4"/>
  <c r="B349" i="4"/>
  <c r="B348" i="4"/>
  <c r="B347" i="4"/>
  <c r="B346" i="4"/>
  <c r="B345" i="4"/>
  <c r="B344" i="4"/>
  <c r="B343" i="4"/>
  <c r="B342" i="4"/>
  <c r="B341" i="4"/>
  <c r="B340" i="4"/>
  <c r="B339" i="4"/>
  <c r="B338" i="4"/>
  <c r="B337" i="4"/>
  <c r="B336" i="4"/>
  <c r="B335" i="4"/>
  <c r="B334" i="4"/>
  <c r="B333" i="4"/>
  <c r="B332" i="4"/>
  <c r="B331" i="4"/>
  <c r="B330" i="4"/>
  <c r="B329" i="4"/>
  <c r="B328" i="4"/>
  <c r="B327" i="4"/>
  <c r="B326" i="4"/>
  <c r="B325" i="4"/>
  <c r="B324" i="4"/>
  <c r="B323" i="4"/>
  <c r="B322" i="4"/>
  <c r="B321" i="4"/>
  <c r="B320" i="4"/>
  <c r="B319" i="4"/>
  <c r="B318" i="4"/>
  <c r="B317" i="4"/>
  <c r="B316" i="4"/>
  <c r="B315" i="4"/>
  <c r="B314" i="4"/>
  <c r="B313" i="4"/>
  <c r="B312" i="4"/>
  <c r="B311" i="4"/>
  <c r="B310" i="4"/>
  <c r="B309" i="4"/>
  <c r="B308" i="4"/>
  <c r="B307" i="4"/>
  <c r="B306" i="4"/>
  <c r="B305" i="4"/>
  <c r="B304" i="4"/>
  <c r="B303" i="4"/>
  <c r="B302" i="4"/>
  <c r="B301" i="4"/>
  <c r="B300" i="4"/>
  <c r="B299" i="4"/>
  <c r="B298" i="4"/>
  <c r="B297" i="4"/>
  <c r="B296" i="4"/>
  <c r="B295" i="4"/>
  <c r="B294" i="4"/>
  <c r="B293" i="4"/>
  <c r="B292" i="4"/>
  <c r="B291" i="4"/>
  <c r="B290" i="4"/>
  <c r="B289" i="4"/>
  <c r="B288" i="4"/>
  <c r="B287" i="4"/>
  <c r="B286" i="4"/>
  <c r="B285" i="4"/>
  <c r="B284" i="4"/>
  <c r="B283" i="4"/>
  <c r="B282" i="4"/>
  <c r="B281" i="4"/>
  <c r="B280" i="4"/>
  <c r="B279" i="4"/>
  <c r="B278" i="4"/>
  <c r="B277" i="4"/>
  <c r="B276" i="4"/>
  <c r="B275" i="4"/>
  <c r="B274" i="4"/>
  <c r="B273" i="4"/>
  <c r="B272" i="4"/>
  <c r="B271" i="4"/>
  <c r="B270" i="4"/>
  <c r="B269" i="4"/>
  <c r="B268" i="4"/>
  <c r="B267" i="4"/>
  <c r="B266" i="4"/>
  <c r="B265" i="4"/>
  <c r="B264" i="4"/>
  <c r="B263" i="4"/>
  <c r="B262" i="4"/>
  <c r="B261" i="4"/>
  <c r="B260" i="4"/>
  <c r="B259" i="4"/>
  <c r="B258" i="4"/>
  <c r="B257" i="4"/>
  <c r="B256" i="4"/>
  <c r="B255" i="4"/>
  <c r="B254" i="4"/>
  <c r="B253" i="4"/>
  <c r="B252" i="4"/>
  <c r="B251" i="4"/>
  <c r="B250" i="4"/>
  <c r="B249" i="4"/>
  <c r="B248" i="4"/>
  <c r="B247" i="4"/>
  <c r="B246" i="4"/>
  <c r="B245" i="4"/>
  <c r="B244" i="4"/>
  <c r="B243" i="4"/>
  <c r="B242" i="4"/>
  <c r="B241" i="4"/>
  <c r="B240" i="4"/>
  <c r="B239" i="4"/>
  <c r="B238" i="4"/>
  <c r="B237" i="4"/>
  <c r="L29" i="18" l="1"/>
  <c r="L33" i="18" s="1"/>
  <c r="J40" i="12"/>
  <c r="K40" i="12" s="1"/>
  <c r="L9" i="18"/>
  <c r="M9" i="18" s="1"/>
  <c r="H51" i="20"/>
  <c r="F34" i="20"/>
  <c r="F36" i="10" s="1"/>
  <c r="H39" i="20"/>
  <c r="H33" i="10"/>
  <c r="H18" i="20"/>
  <c r="F18" i="20"/>
  <c r="F32" i="10" s="1"/>
  <c r="H32" i="10" s="1"/>
  <c r="H36" i="10"/>
  <c r="F6" i="20"/>
  <c r="F23" i="20"/>
  <c r="F33" i="10" s="1"/>
  <c r="M5" i="20"/>
  <c r="C52" i="20"/>
  <c r="K52" i="20"/>
  <c r="F14" i="20"/>
  <c r="F31" i="10" s="1"/>
  <c r="H31" i="10" s="1"/>
  <c r="H23" i="20"/>
  <c r="L26" i="20"/>
  <c r="M26" i="20" s="1"/>
  <c r="J54" i="10"/>
  <c r="L5" i="19"/>
  <c r="M5" i="19" s="1"/>
  <c r="J22" i="13"/>
  <c r="J28" i="12"/>
  <c r="K28" i="12" s="1"/>
  <c r="L4" i="15"/>
  <c r="M4" i="15" s="1"/>
  <c r="L11" i="16"/>
  <c r="M11" i="16" s="1"/>
  <c r="J13" i="16"/>
  <c r="J21" i="10" s="1"/>
  <c r="J24" i="14"/>
  <c r="J13" i="10" s="1"/>
  <c r="L13" i="10" s="1"/>
  <c r="J29" i="14"/>
  <c r="J14" i="10" s="1"/>
  <c r="L32" i="14"/>
  <c r="M32" i="14" s="1"/>
  <c r="L36" i="14"/>
  <c r="J38" i="12"/>
  <c r="K38" i="12" s="1"/>
  <c r="J23" i="20"/>
  <c r="J33" i="10" s="1"/>
  <c r="L22" i="20"/>
  <c r="M22" i="20" s="1"/>
  <c r="J27" i="13"/>
  <c r="L10" i="14"/>
  <c r="M10" i="14" s="1"/>
  <c r="J8" i="12"/>
  <c r="K8" i="12" s="1"/>
  <c r="J17" i="12"/>
  <c r="K17" i="12" s="1"/>
  <c r="J31" i="12"/>
  <c r="K31" i="12" s="1"/>
  <c r="M50" i="14"/>
  <c r="J6" i="15"/>
  <c r="J3" i="10" s="1"/>
  <c r="J19" i="17"/>
  <c r="J52" i="10" s="1"/>
  <c r="J14" i="12"/>
  <c r="K14" i="12" s="1"/>
  <c r="J23" i="12"/>
  <c r="K23" i="12" s="1"/>
  <c r="J37" i="12"/>
  <c r="K37" i="12" s="1"/>
  <c r="J13" i="15"/>
  <c r="J5" i="10" s="1"/>
  <c r="L34" i="16"/>
  <c r="M34" i="16" s="1"/>
  <c r="L39" i="16"/>
  <c r="M39" i="16" s="1"/>
  <c r="L18" i="17"/>
  <c r="M18" i="17" s="1"/>
  <c r="L12" i="15"/>
  <c r="M12" i="15" s="1"/>
  <c r="L9" i="16"/>
  <c r="M9" i="16" s="1"/>
  <c r="J32" i="13"/>
  <c r="J13" i="22"/>
  <c r="J56" i="10" s="1"/>
  <c r="J22" i="12"/>
  <c r="K22" i="12" s="1"/>
  <c r="J33" i="12"/>
  <c r="K33" i="12" s="1"/>
  <c r="L20" i="13"/>
  <c r="M20" i="13" s="1"/>
  <c r="L36" i="16"/>
  <c r="M36" i="16" s="1"/>
  <c r="M11" i="13"/>
  <c r="L16" i="19"/>
  <c r="M16" i="19" s="1"/>
  <c r="J9" i="27"/>
  <c r="J63" i="10" s="1"/>
  <c r="L63" i="10" s="1"/>
  <c r="J20" i="14"/>
  <c r="J12" i="10" s="1"/>
  <c r="J16" i="15"/>
  <c r="J6" i="10" s="1"/>
  <c r="J51" i="18"/>
  <c r="J45" i="10" s="1"/>
  <c r="L13" i="14"/>
  <c r="M13" i="14" s="1"/>
  <c r="L23" i="14"/>
  <c r="M23" i="14" s="1"/>
  <c r="L33" i="14"/>
  <c r="M33" i="14" s="1"/>
  <c r="L37" i="14"/>
  <c r="M37" i="14" s="1"/>
  <c r="L3" i="16"/>
  <c r="M3" i="16" s="1"/>
  <c r="J44" i="16"/>
  <c r="J28" i="10" s="1"/>
  <c r="J26" i="18"/>
  <c r="J41" i="10" s="1"/>
  <c r="L25" i="13"/>
  <c r="M25" i="13" s="1"/>
  <c r="L44" i="13"/>
  <c r="M44" i="13" s="1"/>
  <c r="L14" i="14"/>
  <c r="M14" i="14" s="1"/>
  <c r="L10" i="19"/>
  <c r="M10" i="19" s="1"/>
  <c r="L15" i="19"/>
  <c r="M15" i="19" s="1"/>
  <c r="J15" i="14"/>
  <c r="J11" i="10" s="1"/>
  <c r="J47" i="14"/>
  <c r="J18" i="10" s="1"/>
  <c r="L18" i="10" s="1"/>
  <c r="M18" i="10" s="1"/>
  <c r="J18" i="20"/>
  <c r="J32" i="10" s="1"/>
  <c r="J27" i="16"/>
  <c r="J24" i="10" s="1"/>
  <c r="L17" i="17"/>
  <c r="M17" i="17" s="1"/>
  <c r="J39" i="12"/>
  <c r="K39" i="12" s="1"/>
  <c r="L27" i="14"/>
  <c r="L40" i="14"/>
  <c r="M40" i="14" s="1"/>
  <c r="L4" i="16"/>
  <c r="M4" i="16" s="1"/>
  <c r="L6" i="16"/>
  <c r="M6" i="16" s="1"/>
  <c r="L31" i="16"/>
  <c r="M31" i="16" s="1"/>
  <c r="L43" i="16"/>
  <c r="M43" i="16" s="1"/>
  <c r="M7" i="17"/>
  <c r="J33" i="18"/>
  <c r="J42" i="10" s="1"/>
  <c r="L49" i="18"/>
  <c r="L51" i="18" s="1"/>
  <c r="L43" i="20"/>
  <c r="M43" i="20" s="1"/>
  <c r="L48" i="20"/>
  <c r="M48" i="20" s="1"/>
  <c r="J8" i="28"/>
  <c r="L3" i="19"/>
  <c r="M3" i="19" s="1"/>
  <c r="L18" i="14"/>
  <c r="M18" i="14" s="1"/>
  <c r="J38" i="14"/>
  <c r="J16" i="10" s="1"/>
  <c r="L45" i="14"/>
  <c r="M45" i="14" s="1"/>
  <c r="J52" i="14"/>
  <c r="J19" i="10" s="1"/>
  <c r="J22" i="15"/>
  <c r="J8" i="10" s="1"/>
  <c r="J41" i="16"/>
  <c r="J27" i="10" s="1"/>
  <c r="L24" i="18"/>
  <c r="M24" i="18" s="1"/>
  <c r="J18" i="12"/>
  <c r="K18" i="12" s="1"/>
  <c r="J21" i="12"/>
  <c r="K21" i="12" s="1"/>
  <c r="J32" i="12"/>
  <c r="K32" i="12" s="1"/>
  <c r="L30" i="13"/>
  <c r="L32" i="13" s="1"/>
  <c r="L28" i="14"/>
  <c r="M28" i="14" s="1"/>
  <c r="J34" i="14"/>
  <c r="M46" i="14"/>
  <c r="L9" i="15"/>
  <c r="M9" i="15" s="1"/>
  <c r="L11" i="15"/>
  <c r="M11" i="15" s="1"/>
  <c r="L5" i="16"/>
  <c r="M5" i="16" s="1"/>
  <c r="L12" i="16"/>
  <c r="M12" i="16" s="1"/>
  <c r="L14" i="16"/>
  <c r="M14" i="16" s="1"/>
  <c r="L30" i="16"/>
  <c r="M30" i="16" s="1"/>
  <c r="J18" i="18"/>
  <c r="J40" i="10" s="1"/>
  <c r="M42" i="18"/>
  <c r="L4" i="19"/>
  <c r="M4" i="19" s="1"/>
  <c r="L7" i="20"/>
  <c r="M7" i="20" s="1"/>
  <c r="J5" i="25"/>
  <c r="K5" i="25" s="1"/>
  <c r="M51" i="14"/>
  <c r="L21" i="15"/>
  <c r="M21" i="15" s="1"/>
  <c r="L10" i="16"/>
  <c r="M10" i="16" s="1"/>
  <c r="J19" i="16"/>
  <c r="J22" i="10" s="1"/>
  <c r="L17" i="16"/>
  <c r="M17" i="16" s="1"/>
  <c r="L26" i="16"/>
  <c r="M26" i="16" s="1"/>
  <c r="L12" i="19"/>
  <c r="M12" i="19" s="1"/>
  <c r="L17" i="20"/>
  <c r="M17" i="20" s="1"/>
  <c r="J7" i="12"/>
  <c r="K7" i="12" s="1"/>
  <c r="L36" i="13"/>
  <c r="M36" i="13" s="1"/>
  <c r="J46" i="13"/>
  <c r="L31" i="14"/>
  <c r="M31" i="14" s="1"/>
  <c r="J43" i="14"/>
  <c r="J17" i="10" s="1"/>
  <c r="L42" i="14"/>
  <c r="M42" i="14" s="1"/>
  <c r="L22" i="16"/>
  <c r="M22" i="16" s="1"/>
  <c r="L40" i="16"/>
  <c r="M40" i="16" s="1"/>
  <c r="J8" i="17"/>
  <c r="J50" i="10" s="1"/>
  <c r="M17" i="18"/>
  <c r="L50" i="20"/>
  <c r="M50" i="20" s="1"/>
  <c r="M7" i="22"/>
  <c r="I22" i="15"/>
  <c r="I8" i="10" s="1"/>
  <c r="I6" i="20"/>
  <c r="I29" i="10" s="1"/>
  <c r="L15" i="15"/>
  <c r="M15" i="15" s="1"/>
  <c r="I16" i="15"/>
  <c r="I6" i="10" s="1"/>
  <c r="L11" i="19"/>
  <c r="M11" i="19" s="1"/>
  <c r="I19" i="17"/>
  <c r="I52" i="10" s="1"/>
  <c r="J12" i="12"/>
  <c r="K12" i="12" s="1"/>
  <c r="J5" i="12"/>
  <c r="K5" i="12" s="1"/>
  <c r="M74" i="18"/>
  <c r="N74" i="18" s="1"/>
  <c r="M4" i="21"/>
  <c r="L7" i="15"/>
  <c r="M7" i="15" s="1"/>
  <c r="L17" i="15"/>
  <c r="L19" i="15" s="1"/>
  <c r="L27" i="20"/>
  <c r="I26" i="18"/>
  <c r="I41" i="10" s="1"/>
  <c r="L25" i="20"/>
  <c r="M25" i="20" s="1"/>
  <c r="L49" i="20"/>
  <c r="M49" i="20" s="1"/>
  <c r="I11" i="14"/>
  <c r="I10" i="10" s="1"/>
  <c r="I13" i="15"/>
  <c r="I5" i="10" s="1"/>
  <c r="J27" i="12"/>
  <c r="K27" i="12" s="1"/>
  <c r="I29" i="14"/>
  <c r="I14" i="10" s="1"/>
  <c r="L28" i="16"/>
  <c r="M28" i="16" s="1"/>
  <c r="L21" i="20"/>
  <c r="M21" i="20" s="1"/>
  <c r="I44" i="20"/>
  <c r="I37" i="10" s="1"/>
  <c r="L16" i="16"/>
  <c r="M16" i="16" s="1"/>
  <c r="L27" i="17"/>
  <c r="M27" i="17" s="1"/>
  <c r="I29" i="20"/>
  <c r="I34" i="10" s="1"/>
  <c r="J3" i="23"/>
  <c r="K3" i="23" s="1"/>
  <c r="K5" i="23" s="1"/>
  <c r="I37" i="13"/>
  <c r="L6" i="14"/>
  <c r="M3" i="14"/>
  <c r="M6" i="14" s="1"/>
  <c r="L33" i="13"/>
  <c r="M33" i="13" s="1"/>
  <c r="I6" i="14"/>
  <c r="I9" i="10" s="1"/>
  <c r="M17" i="14"/>
  <c r="L21" i="16"/>
  <c r="M21" i="16" s="1"/>
  <c r="L23" i="16"/>
  <c r="M23" i="16" s="1"/>
  <c r="L29" i="16"/>
  <c r="M29" i="16" s="1"/>
  <c r="L9" i="19"/>
  <c r="M9" i="19" s="1"/>
  <c r="I14" i="20"/>
  <c r="I31" i="10" s="1"/>
  <c r="L15" i="20"/>
  <c r="L19" i="20"/>
  <c r="M19" i="20" s="1"/>
  <c r="I34" i="20"/>
  <c r="I36" i="10" s="1"/>
  <c r="L41" i="20"/>
  <c r="M41" i="20" s="1"/>
  <c r="G11" i="25"/>
  <c r="I57" i="10"/>
  <c r="L57" i="10" s="1"/>
  <c r="M57" i="10" s="1"/>
  <c r="K25" i="12"/>
  <c r="J36" i="12"/>
  <c r="K36" i="12" s="1"/>
  <c r="I27" i="13"/>
  <c r="I7" i="16"/>
  <c r="I20" i="10" s="1"/>
  <c r="I19" i="16"/>
  <c r="I22" i="10" s="1"/>
  <c r="I28" i="17"/>
  <c r="I53" i="10" s="1"/>
  <c r="L13" i="20"/>
  <c r="M13" i="20" s="1"/>
  <c r="L11" i="22"/>
  <c r="M11" i="22" s="1"/>
  <c r="G5" i="23"/>
  <c r="J8" i="25"/>
  <c r="K8" i="25" s="1"/>
  <c r="I8" i="28"/>
  <c r="I58" i="10" s="1"/>
  <c r="J10" i="12"/>
  <c r="K10" i="12" s="1"/>
  <c r="I32" i="13"/>
  <c r="L16" i="20"/>
  <c r="M16" i="20" s="1"/>
  <c r="L31" i="20"/>
  <c r="M31" i="20" s="1"/>
  <c r="L42" i="20"/>
  <c r="M42" i="20" s="1"/>
  <c r="L47" i="20"/>
  <c r="M47" i="20" s="1"/>
  <c r="M24" i="13"/>
  <c r="M28" i="13"/>
  <c r="L7" i="14"/>
  <c r="M7" i="14" s="1"/>
  <c r="M26" i="14"/>
  <c r="L44" i="14"/>
  <c r="I24" i="16"/>
  <c r="I23" i="10" s="1"/>
  <c r="L37" i="16"/>
  <c r="M37" i="16" s="1"/>
  <c r="I41" i="16"/>
  <c r="I27" i="10" s="1"/>
  <c r="I37" i="18"/>
  <c r="I43" i="10" s="1"/>
  <c r="L17" i="19"/>
  <c r="M17" i="19" s="1"/>
  <c r="L20" i="20"/>
  <c r="M20" i="20" s="1"/>
  <c r="L12" i="22"/>
  <c r="M12" i="22" s="1"/>
  <c r="I10" i="24"/>
  <c r="L4" i="29"/>
  <c r="M4" i="29" s="1"/>
  <c r="L21" i="14"/>
  <c r="L25" i="14"/>
  <c r="G41" i="12"/>
  <c r="I65" i="10" s="1"/>
  <c r="M30" i="18"/>
  <c r="L15" i="17"/>
  <c r="M15" i="17" s="1"/>
  <c r="J11" i="12"/>
  <c r="K11" i="12" s="1"/>
  <c r="J26" i="12"/>
  <c r="K26" i="12" s="1"/>
  <c r="I22" i="13"/>
  <c r="I20" i="14"/>
  <c r="I12" i="10" s="1"/>
  <c r="L5" i="15"/>
  <c r="M5" i="15" s="1"/>
  <c r="L18" i="16"/>
  <c r="M18" i="16" s="1"/>
  <c r="I38" i="16"/>
  <c r="I26" i="10" s="1"/>
  <c r="L12" i="20"/>
  <c r="M12" i="20" s="1"/>
  <c r="L32" i="20"/>
  <c r="I32" i="16"/>
  <c r="I25" i="10" s="1"/>
  <c r="I5" i="29"/>
  <c r="I61" i="10" s="1"/>
  <c r="J9" i="12"/>
  <c r="K9" i="12" s="1"/>
  <c r="I7" i="26"/>
  <c r="I55" i="10" s="1"/>
  <c r="L55" i="10" s="1"/>
  <c r="M55" i="10" s="1"/>
  <c r="L7" i="27"/>
  <c r="L9" i="27" s="1"/>
  <c r="L3" i="29"/>
  <c r="M3" i="29" s="1"/>
  <c r="F29" i="10"/>
  <c r="H29" i="10" s="1"/>
  <c r="G67" i="10"/>
  <c r="H7" i="10"/>
  <c r="M4" i="10"/>
  <c r="H55" i="10"/>
  <c r="H20" i="10"/>
  <c r="L7" i="10"/>
  <c r="M6" i="13"/>
  <c r="H7" i="13"/>
  <c r="F12" i="10"/>
  <c r="H12" i="10" s="1"/>
  <c r="F53" i="14"/>
  <c r="H22" i="14"/>
  <c r="M22" i="14" s="1"/>
  <c r="F24" i="14"/>
  <c r="F13" i="10" s="1"/>
  <c r="H13" i="10" s="1"/>
  <c r="H3" i="10"/>
  <c r="H60" i="10"/>
  <c r="F29" i="12"/>
  <c r="M3" i="13"/>
  <c r="H12" i="13"/>
  <c r="D23" i="15"/>
  <c r="D3" i="10"/>
  <c r="D67" i="10" s="1"/>
  <c r="E67" i="10"/>
  <c r="H46" i="10"/>
  <c r="H61" i="10"/>
  <c r="M16" i="14"/>
  <c r="H29" i="12"/>
  <c r="M12" i="14"/>
  <c r="M48" i="13"/>
  <c r="H51" i="13"/>
  <c r="J6" i="12"/>
  <c r="K6" i="12" s="1"/>
  <c r="F41" i="12"/>
  <c r="I7" i="13"/>
  <c r="L18" i="13"/>
  <c r="J7" i="13"/>
  <c r="L5" i="13"/>
  <c r="M5" i="13" s="1"/>
  <c r="J11" i="14"/>
  <c r="J10" i="10" s="1"/>
  <c r="L9" i="14"/>
  <c r="M9" i="14" s="1"/>
  <c r="J19" i="12"/>
  <c r="K19" i="12" s="1"/>
  <c r="J30" i="12"/>
  <c r="J34" i="12"/>
  <c r="K34" i="12" s="1"/>
  <c r="M23" i="13"/>
  <c r="H37" i="13"/>
  <c r="M39" i="13"/>
  <c r="G53" i="14"/>
  <c r="I13" i="16"/>
  <c r="I21" i="10" s="1"/>
  <c r="L8" i="16"/>
  <c r="G29" i="12"/>
  <c r="J17" i="13"/>
  <c r="L15" i="13"/>
  <c r="M15" i="13" s="1"/>
  <c r="J6" i="14"/>
  <c r="I38" i="14"/>
  <c r="I16" i="10" s="1"/>
  <c r="L35" i="14"/>
  <c r="H47" i="14"/>
  <c r="L8" i="15"/>
  <c r="M8" i="15" s="1"/>
  <c r="L26" i="17"/>
  <c r="J28" i="17"/>
  <c r="J53" i="10" s="1"/>
  <c r="J51" i="20"/>
  <c r="J38" i="10" s="1"/>
  <c r="L45" i="20"/>
  <c r="H41" i="12"/>
  <c r="J65" i="10" s="1"/>
  <c r="I17" i="13"/>
  <c r="F51" i="13"/>
  <c r="I6" i="15"/>
  <c r="L3" i="15"/>
  <c r="M44" i="18"/>
  <c r="L4" i="20"/>
  <c r="M4" i="20" s="1"/>
  <c r="J6" i="20"/>
  <c r="J3" i="12"/>
  <c r="C52" i="13"/>
  <c r="L13" i="13"/>
  <c r="F37" i="13"/>
  <c r="F46" i="13"/>
  <c r="F52" i="13" s="1"/>
  <c r="M43" i="13"/>
  <c r="J51" i="13"/>
  <c r="I15" i="14"/>
  <c r="I11" i="10" s="1"/>
  <c r="H34" i="14"/>
  <c r="H36" i="14"/>
  <c r="H38" i="14" s="1"/>
  <c r="F38" i="14"/>
  <c r="F16" i="10" s="1"/>
  <c r="H16" i="10" s="1"/>
  <c r="H43" i="14"/>
  <c r="L53" i="18"/>
  <c r="M53" i="18" s="1"/>
  <c r="I58" i="18"/>
  <c r="I46" i="10" s="1"/>
  <c r="K20" i="12"/>
  <c r="F7" i="13"/>
  <c r="I12" i="13"/>
  <c r="H30" i="13"/>
  <c r="H32" i="13" s="1"/>
  <c r="F32" i="13"/>
  <c r="I46" i="13"/>
  <c r="D52" i="13"/>
  <c r="I51" i="13"/>
  <c r="L47" i="13"/>
  <c r="L49" i="13"/>
  <c r="M49" i="13" s="1"/>
  <c r="H15" i="14"/>
  <c r="H53" i="14" s="1"/>
  <c r="H24" i="14"/>
  <c r="I34" i="14"/>
  <c r="I15" i="10" s="1"/>
  <c r="L15" i="10" s="1"/>
  <c r="M15" i="10" s="1"/>
  <c r="L30" i="14"/>
  <c r="L41" i="14"/>
  <c r="M41" i="14" s="1"/>
  <c r="I44" i="16"/>
  <c r="I28" i="10" s="1"/>
  <c r="L42" i="16"/>
  <c r="L10" i="13"/>
  <c r="M10" i="13" s="1"/>
  <c r="J12" i="13"/>
  <c r="F29" i="14"/>
  <c r="F14" i="10" s="1"/>
  <c r="H14" i="10" s="1"/>
  <c r="H27" i="14"/>
  <c r="H29" i="14" s="1"/>
  <c r="L52" i="14"/>
  <c r="M75" i="18"/>
  <c r="N75" i="18" s="1"/>
  <c r="K76" i="18"/>
  <c r="L15" i="16"/>
  <c r="M15" i="16" s="1"/>
  <c r="I8" i="17"/>
  <c r="L3" i="17"/>
  <c r="M27" i="18"/>
  <c r="N71" i="18"/>
  <c r="H10" i="20"/>
  <c r="L11" i="20"/>
  <c r="J14" i="20"/>
  <c r="J31" i="10" s="1"/>
  <c r="J34" i="20"/>
  <c r="J36" i="10" s="1"/>
  <c r="L30" i="20"/>
  <c r="I52" i="14"/>
  <c r="I19" i="10" s="1"/>
  <c r="J7" i="16"/>
  <c r="H19" i="16"/>
  <c r="L25" i="16"/>
  <c r="I27" i="16"/>
  <c r="I24" i="10" s="1"/>
  <c r="J32" i="16"/>
  <c r="J25" i="10" s="1"/>
  <c r="M12" i="17"/>
  <c r="M21" i="17"/>
  <c r="F11" i="18"/>
  <c r="F39" i="10" s="1"/>
  <c r="H39" i="10" s="1"/>
  <c r="H3" i="18"/>
  <c r="H11" i="18" s="1"/>
  <c r="M8" i="18"/>
  <c r="M16" i="18"/>
  <c r="D59" i="18"/>
  <c r="H43" i="18"/>
  <c r="M54" i="18"/>
  <c r="F8" i="19"/>
  <c r="F47" i="10" s="1"/>
  <c r="H47" i="10" s="1"/>
  <c r="H7" i="19"/>
  <c r="H8" i="19" s="1"/>
  <c r="F18" i="19"/>
  <c r="H16" i="19"/>
  <c r="H38" i="13"/>
  <c r="H46" i="13" s="1"/>
  <c r="I43" i="14"/>
  <c r="I17" i="10" s="1"/>
  <c r="L39" i="14"/>
  <c r="L14" i="15"/>
  <c r="H22" i="15"/>
  <c r="H23" i="15" s="1"/>
  <c r="D45" i="16"/>
  <c r="I11" i="18"/>
  <c r="I39" i="10" s="1"/>
  <c r="M38" i="18"/>
  <c r="J43" i="18"/>
  <c r="J44" i="10" s="1"/>
  <c r="L41" i="18"/>
  <c r="M41" i="18" s="1"/>
  <c r="I76" i="18"/>
  <c r="M7" i="19"/>
  <c r="I13" i="22"/>
  <c r="I56" i="10" s="1"/>
  <c r="L3" i="22"/>
  <c r="C45" i="16"/>
  <c r="H24" i="16"/>
  <c r="F28" i="17"/>
  <c r="F53" i="10" s="1"/>
  <c r="H53" i="10" s="1"/>
  <c r="H26" i="17"/>
  <c r="H28" i="17" s="1"/>
  <c r="F26" i="18"/>
  <c r="F41" i="10" s="1"/>
  <c r="H41" i="10" s="1"/>
  <c r="H19" i="18"/>
  <c r="H26" i="18" s="1"/>
  <c r="K59" i="18"/>
  <c r="N69" i="18"/>
  <c r="H18" i="19"/>
  <c r="F29" i="20"/>
  <c r="F34" i="10" s="1"/>
  <c r="H34" i="10" s="1"/>
  <c r="H27" i="20"/>
  <c r="H29" i="20" s="1"/>
  <c r="I39" i="20"/>
  <c r="I35" i="10" s="1"/>
  <c r="L36" i="20"/>
  <c r="M36" i="20" s="1"/>
  <c r="H42" i="20"/>
  <c r="F44" i="20"/>
  <c r="F37" i="10" s="1"/>
  <c r="H37" i="10" s="1"/>
  <c r="J13" i="21"/>
  <c r="J59" i="10" s="1"/>
  <c r="L12" i="21"/>
  <c r="M12" i="21" s="1"/>
  <c r="K7" i="25"/>
  <c r="J10" i="25"/>
  <c r="K10" i="25" s="1"/>
  <c r="H11" i="25"/>
  <c r="H10" i="27"/>
  <c r="K23" i="15"/>
  <c r="L20" i="15"/>
  <c r="J24" i="16"/>
  <c r="J23" i="10" s="1"/>
  <c r="F32" i="16"/>
  <c r="F25" i="10" s="1"/>
  <c r="H25" i="10" s="1"/>
  <c r="H30" i="16"/>
  <c r="H32" i="16" s="1"/>
  <c r="J38" i="16"/>
  <c r="J26" i="10" s="1"/>
  <c r="L33" i="16"/>
  <c r="F13" i="17"/>
  <c r="H11" i="17"/>
  <c r="H13" i="17" s="1"/>
  <c r="H29" i="17" s="1"/>
  <c r="J13" i="17"/>
  <c r="J51" i="10" s="1"/>
  <c r="L51" i="10" s="1"/>
  <c r="I18" i="18"/>
  <c r="I40" i="10" s="1"/>
  <c r="L12" i="18"/>
  <c r="M22" i="18"/>
  <c r="M39" i="18"/>
  <c r="M50" i="18"/>
  <c r="M52" i="18"/>
  <c r="M14" i="19"/>
  <c r="K19" i="19"/>
  <c r="J39" i="20"/>
  <c r="L37" i="20"/>
  <c r="M37" i="20" s="1"/>
  <c r="H44" i="20"/>
  <c r="J6" i="27"/>
  <c r="L5" i="27"/>
  <c r="M5" i="27" s="1"/>
  <c r="C23" i="15"/>
  <c r="H13" i="16"/>
  <c r="H44" i="16"/>
  <c r="H45" i="16" s="1"/>
  <c r="M11" i="17"/>
  <c r="M20" i="17"/>
  <c r="J11" i="18"/>
  <c r="M10" i="18"/>
  <c r="L37" i="18"/>
  <c r="M34" i="18"/>
  <c r="L56" i="18"/>
  <c r="M56" i="18" s="1"/>
  <c r="J58" i="18"/>
  <c r="N70" i="18"/>
  <c r="J10" i="20"/>
  <c r="J30" i="10" s="1"/>
  <c r="L8" i="20"/>
  <c r="M8" i="20" s="1"/>
  <c r="F19" i="16"/>
  <c r="F22" i="10" s="1"/>
  <c r="H22" i="10" s="1"/>
  <c r="F24" i="16"/>
  <c r="F23" i="10" s="1"/>
  <c r="H23" i="10" s="1"/>
  <c r="F33" i="18"/>
  <c r="F42" i="10" s="1"/>
  <c r="H42" i="10" s="1"/>
  <c r="J37" i="18"/>
  <c r="J43" i="10" s="1"/>
  <c r="I51" i="18"/>
  <c r="J76" i="18"/>
  <c r="I8" i="19"/>
  <c r="I47" i="10" s="1"/>
  <c r="I18" i="19"/>
  <c r="D52" i="20"/>
  <c r="I10" i="20"/>
  <c r="I30" i="10" s="1"/>
  <c r="F10" i="20"/>
  <c r="F30" i="10" s="1"/>
  <c r="H30" i="10" s="1"/>
  <c r="M3" i="21"/>
  <c r="M3" i="26"/>
  <c r="L7" i="26"/>
  <c r="G52" i="20"/>
  <c r="L33" i="20"/>
  <c r="M33" i="20" s="1"/>
  <c r="J13" i="25"/>
  <c r="K12" i="25"/>
  <c r="K13" i="25" s="1"/>
  <c r="J14" i="25"/>
  <c r="G15" i="25"/>
  <c r="F22" i="15"/>
  <c r="F8" i="10" s="1"/>
  <c r="H8" i="10" s="1"/>
  <c r="F13" i="16"/>
  <c r="F21" i="10" s="1"/>
  <c r="H21" i="10" s="1"/>
  <c r="L20" i="16"/>
  <c r="F44" i="16"/>
  <c r="F28" i="10" s="1"/>
  <c r="H28" i="10" s="1"/>
  <c r="F19" i="17"/>
  <c r="F52" i="10" s="1"/>
  <c r="H52" i="10" s="1"/>
  <c r="H58" i="18"/>
  <c r="H6" i="20"/>
  <c r="M4" i="26"/>
  <c r="I6" i="27"/>
  <c r="I10" i="27" s="1"/>
  <c r="L3" i="27"/>
  <c r="F9" i="28"/>
  <c r="L9" i="17"/>
  <c r="L19" i="18"/>
  <c r="I33" i="18"/>
  <c r="I42" i="10" s="1"/>
  <c r="I43" i="18"/>
  <c r="I44" i="10" s="1"/>
  <c r="J13" i="19"/>
  <c r="J48" i="10" s="1"/>
  <c r="L9" i="20"/>
  <c r="M9" i="20" s="1"/>
  <c r="M38" i="20"/>
  <c r="J44" i="20"/>
  <c r="J37" i="10" s="1"/>
  <c r="L40" i="20"/>
  <c r="I13" i="21"/>
  <c r="I59" i="10" s="1"/>
  <c r="H35" i="18"/>
  <c r="H37" i="18" s="1"/>
  <c r="F37" i="18"/>
  <c r="F43" i="10" s="1"/>
  <c r="H43" i="10" s="1"/>
  <c r="I13" i="19"/>
  <c r="I48" i="10" s="1"/>
  <c r="L3" i="20"/>
  <c r="I18" i="20"/>
  <c r="I32" i="10" s="1"/>
  <c r="I23" i="20"/>
  <c r="I33" i="10" s="1"/>
  <c r="L28" i="20"/>
  <c r="M28" i="20" s="1"/>
  <c r="H32" i="20"/>
  <c r="H34" i="20" s="1"/>
  <c r="M35" i="20"/>
  <c r="I51" i="20"/>
  <c r="I38" i="10" s="1"/>
  <c r="F51" i="20"/>
  <c r="F38" i="10" s="1"/>
  <c r="H38" i="10" s="1"/>
  <c r="J8" i="19"/>
  <c r="J47" i="10" s="1"/>
  <c r="L24" i="20"/>
  <c r="J29" i="20"/>
  <c r="J34" i="10" s="1"/>
  <c r="H13" i="22"/>
  <c r="G6" i="25"/>
  <c r="J4" i="25"/>
  <c r="M6" i="28"/>
  <c r="M8" i="28" s="1"/>
  <c r="L8" i="28"/>
  <c r="F39" i="20"/>
  <c r="F35" i="10" s="1"/>
  <c r="H35" i="10" s="1"/>
  <c r="F13" i="22"/>
  <c r="F56" i="10" s="1"/>
  <c r="H56" i="10" s="1"/>
  <c r="L3" i="28"/>
  <c r="J5" i="29"/>
  <c r="J61" i="10" s="1"/>
  <c r="G13" i="25"/>
  <c r="F9" i="27"/>
  <c r="F10" i="27" s="1"/>
  <c r="F63" i="10" s="1"/>
  <c r="H63" i="10" s="1"/>
  <c r="L9" i="24"/>
  <c r="M29" i="18" l="1"/>
  <c r="H52" i="20"/>
  <c r="M27" i="20"/>
  <c r="H59" i="18"/>
  <c r="L33" i="10"/>
  <c r="M33" i="10" s="1"/>
  <c r="J10" i="27"/>
  <c r="L21" i="10"/>
  <c r="M21" i="10" s="1"/>
  <c r="M13" i="15"/>
  <c r="L56" i="10"/>
  <c r="M56" i="10" s="1"/>
  <c r="L52" i="10"/>
  <c r="M52" i="10" s="1"/>
  <c r="M12" i="13"/>
  <c r="M49" i="18"/>
  <c r="M51" i="18" s="1"/>
  <c r="L5" i="10"/>
  <c r="M5" i="10" s="1"/>
  <c r="L13" i="15"/>
  <c r="L8" i="19"/>
  <c r="L27" i="13"/>
  <c r="L47" i="14"/>
  <c r="L32" i="10"/>
  <c r="M32" i="10" s="1"/>
  <c r="L41" i="10"/>
  <c r="M41" i="10" s="1"/>
  <c r="L17" i="10"/>
  <c r="M17" i="10" s="1"/>
  <c r="L28" i="10"/>
  <c r="M28" i="10" s="1"/>
  <c r="L12" i="10"/>
  <c r="M12" i="10" s="1"/>
  <c r="L24" i="10"/>
  <c r="M24" i="10" s="1"/>
  <c r="L14" i="10"/>
  <c r="M14" i="10" s="1"/>
  <c r="M52" i="14"/>
  <c r="L19" i="10"/>
  <c r="M19" i="10" s="1"/>
  <c r="L29" i="14"/>
  <c r="L41" i="16"/>
  <c r="L16" i="10"/>
  <c r="M16" i="10" s="1"/>
  <c r="M41" i="16"/>
  <c r="L15" i="14"/>
  <c r="M15" i="14"/>
  <c r="L24" i="14"/>
  <c r="L42" i="10"/>
  <c r="M42" i="10" s="1"/>
  <c r="J23" i="15"/>
  <c r="L20" i="14"/>
  <c r="L7" i="16"/>
  <c r="M63" i="10"/>
  <c r="L11" i="10"/>
  <c r="M11" i="10" s="1"/>
  <c r="L8" i="10"/>
  <c r="M8" i="10" s="1"/>
  <c r="M7" i="16"/>
  <c r="L46" i="13"/>
  <c r="L11" i="18"/>
  <c r="L27" i="10"/>
  <c r="M27" i="10" s="1"/>
  <c r="J29" i="17"/>
  <c r="M13" i="10"/>
  <c r="L22" i="10"/>
  <c r="M22" i="10" s="1"/>
  <c r="M5" i="29"/>
  <c r="L40" i="10"/>
  <c r="M40" i="10" s="1"/>
  <c r="J9" i="28"/>
  <c r="J58" i="10"/>
  <c r="L58" i="10" s="1"/>
  <c r="M58" i="10" s="1"/>
  <c r="M13" i="19"/>
  <c r="L28" i="17"/>
  <c r="L13" i="19"/>
  <c r="L61" i="10"/>
  <c r="M61" i="10" s="1"/>
  <c r="L32" i="16"/>
  <c r="L5" i="29"/>
  <c r="L34" i="10"/>
  <c r="M34" i="10" s="1"/>
  <c r="L10" i="10"/>
  <c r="M10" i="10" s="1"/>
  <c r="M7" i="27"/>
  <c r="M9" i="27" s="1"/>
  <c r="K11" i="25"/>
  <c r="L18" i="19"/>
  <c r="M20" i="14"/>
  <c r="L26" i="10"/>
  <c r="M26" i="10" s="1"/>
  <c r="M23" i="20"/>
  <c r="L19" i="17"/>
  <c r="J5" i="23"/>
  <c r="L23" i="20"/>
  <c r="L10" i="15"/>
  <c r="M27" i="13"/>
  <c r="L37" i="10"/>
  <c r="M37" i="10" s="1"/>
  <c r="L53" i="10"/>
  <c r="M53" i="10" s="1"/>
  <c r="L43" i="18"/>
  <c r="M44" i="14"/>
  <c r="M47" i="14" s="1"/>
  <c r="L18" i="20"/>
  <c r="L43" i="10"/>
  <c r="M43" i="10" s="1"/>
  <c r="J11" i="25"/>
  <c r="L65" i="10"/>
  <c r="M65" i="10" s="1"/>
  <c r="M17" i="15"/>
  <c r="M19" i="15" s="1"/>
  <c r="L23" i="10"/>
  <c r="M23" i="10" s="1"/>
  <c r="L47" i="10"/>
  <c r="M47" i="10" s="1"/>
  <c r="L37" i="13"/>
  <c r="M32" i="16"/>
  <c r="L31" i="10"/>
  <c r="M31" i="10" s="1"/>
  <c r="L48" i="10"/>
  <c r="M48" i="10" s="1"/>
  <c r="M21" i="14"/>
  <c r="M24" i="14" s="1"/>
  <c r="M39" i="20"/>
  <c r="M7" i="26"/>
  <c r="M19" i="17"/>
  <c r="M25" i="14"/>
  <c r="I11" i="24"/>
  <c r="I54" i="10"/>
  <c r="L54" i="10" s="1"/>
  <c r="M54" i="10" s="1"/>
  <c r="I5" i="23"/>
  <c r="K60" i="10" s="1"/>
  <c r="I60" i="10"/>
  <c r="L10" i="20"/>
  <c r="L25" i="10"/>
  <c r="M25" i="10" s="1"/>
  <c r="L36" i="10"/>
  <c r="M36" i="10" s="1"/>
  <c r="M15" i="20"/>
  <c r="M18" i="20" s="1"/>
  <c r="L39" i="20"/>
  <c r="I9" i="28"/>
  <c r="D42" i="12"/>
  <c r="D43" i="12" s="1"/>
  <c r="F66" i="10"/>
  <c r="M33" i="16"/>
  <c r="M38" i="16" s="1"/>
  <c r="L38" i="16"/>
  <c r="M14" i="15"/>
  <c r="M16" i="15" s="1"/>
  <c r="L16" i="15"/>
  <c r="L6" i="10" s="1"/>
  <c r="M6" i="10" s="1"/>
  <c r="L6" i="20"/>
  <c r="M3" i="20"/>
  <c r="M6" i="20" s="1"/>
  <c r="M18" i="19"/>
  <c r="L59" i="10"/>
  <c r="M59" i="10" s="1"/>
  <c r="C42" i="12"/>
  <c r="C43" i="12" s="1"/>
  <c r="C66" i="10"/>
  <c r="C67" i="10" s="1"/>
  <c r="J41" i="12"/>
  <c r="K30" i="12"/>
  <c r="K41" i="12" s="1"/>
  <c r="M36" i="14"/>
  <c r="L5" i="28"/>
  <c r="L9" i="28" s="1"/>
  <c r="M3" i="28"/>
  <c r="M5" i="28" s="1"/>
  <c r="M9" i="28" s="1"/>
  <c r="J15" i="25"/>
  <c r="K14" i="25"/>
  <c r="K15" i="25" s="1"/>
  <c r="L13" i="21"/>
  <c r="J59" i="18"/>
  <c r="M32" i="20"/>
  <c r="M8" i="19"/>
  <c r="M10" i="15"/>
  <c r="M11" i="20"/>
  <c r="M14" i="20" s="1"/>
  <c r="L14" i="20"/>
  <c r="M19" i="16"/>
  <c r="J29" i="12"/>
  <c r="K3" i="12"/>
  <c r="K29" i="12" s="1"/>
  <c r="L19" i="16"/>
  <c r="L51" i="20"/>
  <c r="M45" i="20"/>
  <c r="M51" i="20" s="1"/>
  <c r="F23" i="15"/>
  <c r="M11" i="14"/>
  <c r="M7" i="10"/>
  <c r="L26" i="18"/>
  <c r="M19" i="18"/>
  <c r="M26" i="18" s="1"/>
  <c r="K4" i="25"/>
  <c r="K6" i="25" s="1"/>
  <c r="J6" i="25"/>
  <c r="M47" i="13"/>
  <c r="M51" i="13" s="1"/>
  <c r="L51" i="13"/>
  <c r="L6" i="27"/>
  <c r="L10" i="27" s="1"/>
  <c r="M3" i="27"/>
  <c r="M6" i="27" s="1"/>
  <c r="M31" i="18"/>
  <c r="M13" i="21"/>
  <c r="I59" i="18"/>
  <c r="I45" i="10"/>
  <c r="L45" i="10" s="1"/>
  <c r="M45" i="10" s="1"/>
  <c r="L39" i="10"/>
  <c r="M39" i="10" s="1"/>
  <c r="M76" i="18"/>
  <c r="L44" i="10"/>
  <c r="M44" i="10" s="1"/>
  <c r="L43" i="14"/>
  <c r="M39" i="14"/>
  <c r="M43" i="14" s="1"/>
  <c r="F45" i="16"/>
  <c r="M38" i="13"/>
  <c r="M46" i="13" s="1"/>
  <c r="L34" i="14"/>
  <c r="M30" i="14"/>
  <c r="M34" i="14" s="1"/>
  <c r="L6" i="15"/>
  <c r="M3" i="15"/>
  <c r="M6" i="15" s="1"/>
  <c r="L38" i="10"/>
  <c r="M38" i="10" s="1"/>
  <c r="M27" i="14"/>
  <c r="L22" i="13"/>
  <c r="M18" i="13"/>
  <c r="M22" i="13" s="1"/>
  <c r="L11" i="14"/>
  <c r="H43" i="12"/>
  <c r="J64" i="10"/>
  <c r="M7" i="13"/>
  <c r="M9" i="17"/>
  <c r="M13" i="17" s="1"/>
  <c r="L13" i="17"/>
  <c r="M12" i="18"/>
  <c r="M18" i="18" s="1"/>
  <c r="L18" i="18"/>
  <c r="H19" i="19"/>
  <c r="L30" i="10"/>
  <c r="M30" i="10" s="1"/>
  <c r="L58" i="18"/>
  <c r="N76" i="18"/>
  <c r="M43" i="18"/>
  <c r="J45" i="16"/>
  <c r="J20" i="10"/>
  <c r="L20" i="10" s="1"/>
  <c r="M20" i="10" s="1"/>
  <c r="M10" i="20"/>
  <c r="J52" i="13"/>
  <c r="I23" i="15"/>
  <c r="I3" i="10"/>
  <c r="F59" i="18"/>
  <c r="M35" i="14"/>
  <c r="L38" i="14"/>
  <c r="G43" i="12"/>
  <c r="I64" i="10"/>
  <c r="M37" i="13"/>
  <c r="L44" i="20"/>
  <c r="M40" i="20"/>
  <c r="M44" i="20" s="1"/>
  <c r="M25" i="16"/>
  <c r="M27" i="16" s="1"/>
  <c r="L27" i="16"/>
  <c r="L29" i="20"/>
  <c r="M24" i="20"/>
  <c r="M58" i="18"/>
  <c r="M35" i="18"/>
  <c r="M37" i="18" s="1"/>
  <c r="I45" i="16"/>
  <c r="J52" i="20"/>
  <c r="J29" i="10"/>
  <c r="L29" i="10" s="1"/>
  <c r="M29" i="10" s="1"/>
  <c r="I53" i="14"/>
  <c r="H52" i="13"/>
  <c r="F42" i="12" s="1"/>
  <c r="F52" i="20"/>
  <c r="M9" i="24"/>
  <c r="M10" i="24" s="1"/>
  <c r="M11" i="24" s="1"/>
  <c r="L10" i="24"/>
  <c r="L11" i="24" s="1"/>
  <c r="L24" i="16"/>
  <c r="M20" i="16"/>
  <c r="M24" i="16" s="1"/>
  <c r="J35" i="10"/>
  <c r="L35" i="10" s="1"/>
  <c r="M35" i="10" s="1"/>
  <c r="J46" i="10"/>
  <c r="L46" i="10" s="1"/>
  <c r="M46" i="10" s="1"/>
  <c r="F29" i="17"/>
  <c r="F51" i="10"/>
  <c r="H51" i="10" s="1"/>
  <c r="M51" i="10" s="1"/>
  <c r="M20" i="15"/>
  <c r="M22" i="15" s="1"/>
  <c r="L22" i="15"/>
  <c r="L13" i="22"/>
  <c r="M3" i="22"/>
  <c r="M13" i="22" s="1"/>
  <c r="L34" i="20"/>
  <c r="M30" i="20"/>
  <c r="M42" i="16"/>
  <c r="M44" i="16" s="1"/>
  <c r="L44" i="16"/>
  <c r="M26" i="17"/>
  <c r="M28" i="17" s="1"/>
  <c r="M30" i="13"/>
  <c r="M32" i="13" s="1"/>
  <c r="L12" i="13"/>
  <c r="I29" i="17"/>
  <c r="I50" i="10"/>
  <c r="L50" i="10" s="1"/>
  <c r="M50" i="10" s="1"/>
  <c r="M13" i="13"/>
  <c r="M17" i="13" s="1"/>
  <c r="L17" i="13"/>
  <c r="I52" i="20"/>
  <c r="I19" i="19"/>
  <c r="I49" i="10"/>
  <c r="L49" i="10" s="1"/>
  <c r="M3" i="18"/>
  <c r="M11" i="18" s="1"/>
  <c r="F19" i="19"/>
  <c r="F49" i="10"/>
  <c r="H49" i="10" s="1"/>
  <c r="L8" i="17"/>
  <c r="M3" i="17"/>
  <c r="M8" i="17" s="1"/>
  <c r="I52" i="13"/>
  <c r="J19" i="19"/>
  <c r="J53" i="14"/>
  <c r="J9" i="10"/>
  <c r="M8" i="16"/>
  <c r="M13" i="16" s="1"/>
  <c r="L13" i="16"/>
  <c r="L7" i="13"/>
  <c r="M33" i="18" l="1"/>
  <c r="M59" i="18" s="1"/>
  <c r="M29" i="20"/>
  <c r="L19" i="19"/>
  <c r="M10" i="27"/>
  <c r="M29" i="14"/>
  <c r="M38" i="14"/>
  <c r="M45" i="16"/>
  <c r="L52" i="20"/>
  <c r="K67" i="10"/>
  <c r="L71" i="10" s="1"/>
  <c r="L60" i="10"/>
  <c r="M60" i="10" s="1"/>
  <c r="M29" i="17"/>
  <c r="M52" i="13"/>
  <c r="K42" i="12" s="1"/>
  <c r="K43" i="12" s="1"/>
  <c r="L59" i="18"/>
  <c r="L45" i="16"/>
  <c r="L29" i="17"/>
  <c r="L23" i="15"/>
  <c r="F67" i="10"/>
  <c r="H68" i="10" s="1"/>
  <c r="J43" i="12"/>
  <c r="H42" i="12"/>
  <c r="J66" i="10"/>
  <c r="J67" i="10" s="1"/>
  <c r="L53" i="14"/>
  <c r="L64" i="10"/>
  <c r="M64" i="10" s="1"/>
  <c r="L52" i="13"/>
  <c r="J42" i="12" s="1"/>
  <c r="L3" i="10"/>
  <c r="M49" i="10"/>
  <c r="M19" i="19"/>
  <c r="H66" i="10"/>
  <c r="H67" i="10" s="1"/>
  <c r="M23" i="15"/>
  <c r="L9" i="10"/>
  <c r="M9" i="10" s="1"/>
  <c r="M34" i="20"/>
  <c r="I66" i="10"/>
  <c r="I67" i="10" s="1"/>
  <c r="G42" i="12"/>
  <c r="F43" i="12"/>
  <c r="M52" i="20" l="1"/>
  <c r="M53" i="14"/>
  <c r="L66" i="10"/>
  <c r="M66" i="10" s="1"/>
  <c r="M3" i="10"/>
  <c r="L68" i="10"/>
  <c r="M67" i="10" l="1"/>
  <c r="L67" i="10"/>
  <c r="C3" i="5"/>
  <c r="C4" i="5" s="1"/>
  <c r="C5" i="5" s="1"/>
  <c r="C6" i="5" s="1"/>
  <c r="C7" i="5" s="1"/>
  <c r="C8" i="5" s="1"/>
  <c r="C9" i="5" s="1"/>
  <c r="C10" i="5" s="1"/>
  <c r="C11" i="5" s="1"/>
  <c r="C12" i="5" s="1"/>
  <c r="C13" i="5" s="1"/>
  <c r="C14" i="5" s="1"/>
  <c r="C15" i="5" s="1"/>
  <c r="C16" i="5" s="1"/>
  <c r="C17" i="5" s="1"/>
  <c r="C18" i="5" s="1"/>
  <c r="C19" i="5" s="1"/>
  <c r="C20" i="5" l="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C48" i="5" s="1"/>
  <c r="C49" i="5" s="1"/>
  <c r="C50" i="5" s="1"/>
  <c r="C51" i="5" s="1"/>
  <c r="C52" i="5" s="1"/>
  <c r="C53" i="5" s="1"/>
  <c r="C54" i="5" s="1"/>
  <c r="C55" i="5" s="1"/>
  <c r="C56" i="5" s="1"/>
  <c r="C57" i="5" s="1"/>
  <c r="C58" i="5" s="1"/>
  <c r="C59" i="5" s="1"/>
  <c r="C60" i="5" s="1"/>
  <c r="C61" i="5" s="1"/>
  <c r="C62" i="5" s="1"/>
  <c r="C63" i="5" s="1"/>
  <c r="C64" i="5" s="1"/>
  <c r="C65" i="5" s="1"/>
  <c r="C66" i="5" s="1"/>
  <c r="C67" i="5" s="1"/>
  <c r="C68" i="5" s="1"/>
  <c r="C69" i="5" s="1"/>
  <c r="C70" i="5" s="1"/>
  <c r="C71" i="5" s="1"/>
  <c r="C72" i="5" s="1"/>
  <c r="C73" i="5" s="1"/>
  <c r="C74" i="5" s="1"/>
  <c r="C75" i="5" s="1"/>
  <c r="C76" i="5" s="1"/>
  <c r="C77" i="5" s="1"/>
  <c r="C78" i="5" s="1"/>
  <c r="C79" i="5" s="1"/>
  <c r="C80" i="5" s="1"/>
  <c r="C81" i="5" s="1"/>
  <c r="C82" i="5" s="1"/>
  <c r="C83" i="5" s="1"/>
  <c r="C84" i="5" s="1"/>
  <c r="C85" i="5" s="1"/>
  <c r="C86" i="5" s="1"/>
  <c r="C87" i="5" s="1"/>
  <c r="C88" i="5" s="1"/>
  <c r="C89" i="5" s="1"/>
  <c r="C90" i="5" s="1"/>
  <c r="C91" i="5" s="1"/>
  <c r="C92" i="5" s="1"/>
  <c r="C93" i="5" s="1"/>
  <c r="C94" i="5" s="1"/>
  <c r="C95" i="5" s="1"/>
  <c r="C96" i="5" s="1"/>
  <c r="C97" i="5" s="1"/>
  <c r="C98" i="5" s="1"/>
  <c r="C99" i="5" s="1"/>
  <c r="C100" i="5" s="1"/>
  <c r="C101" i="5" s="1"/>
  <c r="C102" i="5" s="1"/>
  <c r="C103" i="5" s="1"/>
  <c r="C104" i="5" s="1"/>
  <c r="C105" i="5" s="1"/>
  <c r="C106" i="5" s="1"/>
  <c r="C107" i="5" s="1"/>
  <c r="C108" i="5" s="1"/>
  <c r="C109" i="5" s="1"/>
  <c r="C110" i="5" s="1"/>
  <c r="C111" i="5" s="1"/>
  <c r="C112" i="5" s="1"/>
  <c r="C113" i="5" s="1"/>
  <c r="C114" i="5" l="1"/>
  <c r="C115" i="5" s="1"/>
  <c r="C116" i="5" s="1"/>
  <c r="C117" i="5" s="1"/>
  <c r="C118" i="5" s="1"/>
  <c r="C119" i="5" s="1"/>
  <c r="C120" i="5" s="1"/>
  <c r="C121" i="5" s="1"/>
  <c r="C122" i="5" s="1"/>
  <c r="C123" i="5" s="1"/>
  <c r="C124" i="5" s="1"/>
  <c r="C125" i="5" s="1"/>
  <c r="C126" i="5" s="1"/>
  <c r="C127" i="5" s="1"/>
  <c r="C128" i="5" s="1"/>
  <c r="C129" i="5" s="1"/>
  <c r="C130" i="5" s="1"/>
  <c r="C131" i="5" s="1"/>
  <c r="C132" i="5" s="1"/>
  <c r="C133" i="5" s="1"/>
  <c r="C134" i="5" s="1"/>
  <c r="C135" i="5" s="1"/>
  <c r="C136" i="5" s="1"/>
  <c r="C137" i="5" s="1"/>
  <c r="C138" i="5" s="1"/>
  <c r="C139" i="5" s="1"/>
  <c r="C140" i="5" s="1"/>
  <c r="C141" i="5" s="1"/>
  <c r="C142" i="5" s="1"/>
  <c r="C143" i="5" s="1"/>
  <c r="C144" i="5" s="1"/>
  <c r="C145" i="5" s="1"/>
  <c r="C146" i="5" s="1"/>
  <c r="C147" i="5" s="1"/>
  <c r="C148" i="5" s="1"/>
  <c r="C149" i="5" s="1"/>
  <c r="C150" i="5" s="1"/>
  <c r="C151" i="5" s="1"/>
  <c r="C152" i="5" s="1"/>
  <c r="C153" i="5" s="1"/>
  <c r="C154" i="5" s="1"/>
  <c r="C155" i="5" s="1"/>
  <c r="C156" i="5" s="1"/>
  <c r="C157" i="5" s="1"/>
  <c r="C158" i="5" s="1"/>
  <c r="C159" i="5" s="1"/>
  <c r="C160" i="5" s="1"/>
  <c r="C161" i="5" s="1"/>
  <c r="C162" i="5" s="1"/>
  <c r="C163" i="5" s="1"/>
  <c r="C164" i="5" s="1"/>
  <c r="C165" i="5" s="1"/>
  <c r="L70" i="10"/>
  <c r="L72" i="10" s="1"/>
  <c r="L73"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0000000-0006-0000-1800-000001000000}">
      <text>
        <r>
          <rPr>
            <sz val="11"/>
            <color theme="1"/>
            <rFont val="Calibri"/>
            <family val="2"/>
            <scheme val="minor"/>
          </rPr>
          <t>======
ID#AAABtxI3JQY
tc={3B8562BD-BFDE-A240-A432-8C15AE4057EB}    (2025-10-16 22:16:20)
[Threaded comment]
Your version of Excel allows you to read this threaded comment; however, any edits to it will get removed if the file is opened in a newer version of Excel. Learn more: https://go.microsoft.com/fwlink/?linkid=870924
Comment:
    Paper (16), paint(50), tarp(15) paper towels (2), Palets(10), Canvaboard (50)</t>
        </r>
      </text>
    </comment>
  </commentList>
  <extLst>
    <ext xmlns:r="http://schemas.openxmlformats.org/officeDocument/2006/relationships" uri="GoogleSheetsCustomDataVersion2">
      <go:sheetsCustomData xmlns:go="http://customooxmlschemas.google.com/" r:id="rId1" roundtripDataSignature="AMtx7mjTH8miDzbtSLpPUacbrx5o7JBZZA=="/>
    </ext>
  </extL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<sst xmlns="http://schemas.openxmlformats.org/spreadsheetml/2006/main" count="10753" uniqueCount="2783">
  <si>
    <t>AIM Budget 2025/2026</t>
  </si>
  <si>
    <t xml:space="preserve">Navigating the Budget </t>
  </si>
  <si>
    <t xml:space="preserve">Sheet Name </t>
  </si>
  <si>
    <t>Description</t>
  </si>
  <si>
    <t xml:space="preserve">Welcome </t>
  </si>
  <si>
    <t>Cashbook Navigation</t>
  </si>
  <si>
    <t xml:space="preserve">How to navtigate the chashbooks. </t>
  </si>
  <si>
    <t>Kostensoorts</t>
  </si>
  <si>
    <t>Labels for Cashbooks</t>
  </si>
  <si>
    <t>Cashbook ING</t>
  </si>
  <si>
    <t>All transactions registered through ING.</t>
  </si>
  <si>
    <t>Cashbook Wix</t>
  </si>
  <si>
    <t>All transactions registered through WIX.</t>
  </si>
  <si>
    <t>Cashbook ING Lustrum Savings</t>
  </si>
  <si>
    <t>All savings for Lustrum through ING</t>
  </si>
  <si>
    <t>Budget Navigation</t>
  </si>
  <si>
    <t>Overall spending of committes in total.</t>
  </si>
  <si>
    <t xml:space="preserve">Overview </t>
  </si>
  <si>
    <t xml:space="preserve">Overview of all expenses from board, committes &amp; organisations.  </t>
  </si>
  <si>
    <t>Memberships 25_26</t>
  </si>
  <si>
    <t>Amount and income of AIM memberships</t>
  </si>
  <si>
    <t xml:space="preserve">Board </t>
  </si>
  <si>
    <t>Board expenses (trips, events, transport etc…)</t>
  </si>
  <si>
    <t>Board-Organized Events</t>
  </si>
  <si>
    <t>Board-organized events expenses (trips, events, transport etc…)</t>
  </si>
  <si>
    <t xml:space="preserve">Academic Comittee </t>
  </si>
  <si>
    <t xml:space="preserve">Academic individual Event Transactions (expenses and income) </t>
  </si>
  <si>
    <t>Awareness Comittee</t>
  </si>
  <si>
    <t xml:space="preserve">Awareness individual Event Transactions (expenses and income) </t>
  </si>
  <si>
    <t>Arts Comittee</t>
  </si>
  <si>
    <t xml:space="preserve">Art individual Event Transactions (expenses and income) </t>
  </si>
  <si>
    <t xml:space="preserve">Travel Comittee </t>
  </si>
  <si>
    <t xml:space="preserve">Travel individual Event Transactions (expenses and income) </t>
  </si>
  <si>
    <t xml:space="preserve">Party Comittee </t>
  </si>
  <si>
    <t xml:space="preserve">Party individual Event Transactions (expenses and income) </t>
  </si>
  <si>
    <t xml:space="preserve">Cross-Connect Comittee </t>
  </si>
  <si>
    <t xml:space="preserve">Cross-Connect individual Event Transactions (expenses and income) </t>
  </si>
  <si>
    <t xml:space="preserve">Sports Comittee </t>
  </si>
  <si>
    <t xml:space="preserve">Sports individual Event Transactions (expenses and income) </t>
  </si>
  <si>
    <t>Freshmen Weekend Comittee</t>
  </si>
  <si>
    <t xml:space="preserve">FMW Event Transactions (expenses and income) </t>
  </si>
  <si>
    <t>Third Year Weekend Comittee</t>
  </si>
  <si>
    <t xml:space="preserve">TYW Event Transactions (expenses and income) </t>
  </si>
  <si>
    <t xml:space="preserve">Yearbook Comittee </t>
  </si>
  <si>
    <t xml:space="preserve">Yearbook Transactions (expenses and income) </t>
  </si>
  <si>
    <t xml:space="preserve">AIM Week </t>
  </si>
  <si>
    <t>AIM Week event transactions (expesnes and income)</t>
  </si>
  <si>
    <t>AmsUnlocked</t>
  </si>
  <si>
    <t>Amsterdam Unlocked transactions (investments, expenses &amp; income)</t>
  </si>
  <si>
    <t>AIM Sports Teams</t>
  </si>
  <si>
    <t>AIM sports teams transactions (income and expenses)</t>
  </si>
  <si>
    <t xml:space="preserve">Merchandise  </t>
  </si>
  <si>
    <t xml:space="preserve">Expenses and income for AIM Merch </t>
  </si>
  <si>
    <t>Technical terms for ING Cashbook (Kostenplaats Code):</t>
  </si>
  <si>
    <t>BG</t>
  </si>
  <si>
    <t xml:space="preserve">Board General </t>
  </si>
  <si>
    <t>BE</t>
  </si>
  <si>
    <t>Board Event</t>
  </si>
  <si>
    <t>BO</t>
  </si>
  <si>
    <t>AC</t>
  </si>
  <si>
    <t xml:space="preserve">Academic </t>
  </si>
  <si>
    <t>AW</t>
  </si>
  <si>
    <t xml:space="preserve">Awareness </t>
  </si>
  <si>
    <t>ART</t>
  </si>
  <si>
    <t xml:space="preserve">Art </t>
  </si>
  <si>
    <t>MUN</t>
  </si>
  <si>
    <t>TC</t>
  </si>
  <si>
    <t>Travel</t>
  </si>
  <si>
    <t>PT</t>
  </si>
  <si>
    <t xml:space="preserve">Party </t>
  </si>
  <si>
    <t>CC</t>
  </si>
  <si>
    <t>Cross-Connect</t>
  </si>
  <si>
    <t>SP</t>
  </si>
  <si>
    <t>Sports</t>
  </si>
  <si>
    <t>FMW</t>
  </si>
  <si>
    <t xml:space="preserve">Freshmen Weekend </t>
  </si>
  <si>
    <t>TYW</t>
  </si>
  <si>
    <t xml:space="preserve">Third Year Weekend </t>
  </si>
  <si>
    <t>LT</t>
  </si>
  <si>
    <t xml:space="preserve">Lustrum </t>
  </si>
  <si>
    <t>YB</t>
  </si>
  <si>
    <t xml:space="preserve">Yearbook </t>
  </si>
  <si>
    <t>AIMW</t>
  </si>
  <si>
    <t>AMSU</t>
  </si>
  <si>
    <t xml:space="preserve">Amsterdam Unlocked </t>
  </si>
  <si>
    <t>SPTEAM</t>
  </si>
  <si>
    <t xml:space="preserve">AIM Sports Teams </t>
  </si>
  <si>
    <t>MRCH</t>
  </si>
  <si>
    <t xml:space="preserve">Merchendise </t>
  </si>
  <si>
    <t>See Cashbook_Wix</t>
  </si>
  <si>
    <t>MEMBERSHIPS</t>
  </si>
  <si>
    <t>BG_ASVA</t>
  </si>
  <si>
    <t>BG_Account24/26</t>
  </si>
  <si>
    <t>BG_Atheaneum</t>
  </si>
  <si>
    <t>BG_Sweaters</t>
  </si>
  <si>
    <t>BG_OfficeSupplies</t>
  </si>
  <si>
    <t>BG_Sponsors</t>
  </si>
  <si>
    <t>BG_BusinessCards</t>
  </si>
  <si>
    <t>BG_DutchCourse</t>
  </si>
  <si>
    <t>BG_Canva</t>
  </si>
  <si>
    <t>BG_Photos</t>
  </si>
  <si>
    <t>BG_Domain</t>
  </si>
  <si>
    <t>BG_Partners</t>
  </si>
  <si>
    <t>BG_SAWorkshop</t>
  </si>
  <si>
    <t>BG_FirstAID</t>
  </si>
  <si>
    <t>BG_BystanderTraining</t>
  </si>
  <si>
    <t>BG_Roses</t>
  </si>
  <si>
    <t>BG_INGTransactionCosts</t>
  </si>
  <si>
    <t>BG_Lustrum</t>
  </si>
  <si>
    <t>BG_Memberships</t>
  </si>
  <si>
    <t>BG_Moneybird</t>
  </si>
  <si>
    <t>BG_Zoom</t>
  </si>
  <si>
    <t>BG_OldBoardExpense</t>
  </si>
  <si>
    <t>BG_OldBoardIncome</t>
  </si>
  <si>
    <t>BG_Transportation</t>
  </si>
  <si>
    <t>BG_Unforeseen_Income</t>
  </si>
  <si>
    <t>BG_Unforeseen_Cost</t>
  </si>
  <si>
    <t>BG_Wix</t>
  </si>
  <si>
    <t>BG_WixEmail</t>
  </si>
  <si>
    <t>BG_OldBoardAppreciation</t>
  </si>
  <si>
    <t>BG_PPLEUnforeseenContribution</t>
  </si>
  <si>
    <t>BG_ExcelCourse</t>
  </si>
  <si>
    <t>BG_Merch</t>
  </si>
  <si>
    <t>BG_Board24/25Expenses</t>
  </si>
  <si>
    <t>BG_Board24/25Income</t>
  </si>
  <si>
    <t>BE_Meetings</t>
  </si>
  <si>
    <t>BE_Weekend_Nov</t>
  </si>
  <si>
    <t>BE_Weekend_Jan</t>
  </si>
  <si>
    <t>BE_Weekend_TransitionIncome</t>
  </si>
  <si>
    <t>BE_Weekend_Transition</t>
  </si>
  <si>
    <t>BE_Weekend_May</t>
  </si>
  <si>
    <t>BE_COBO</t>
  </si>
  <si>
    <t>BE_Dinner</t>
  </si>
  <si>
    <t>BE_Committee_Appreciation</t>
  </si>
  <si>
    <t>BE_Committee_Workshop</t>
  </si>
  <si>
    <t>BE_EMOTRAINING</t>
  </si>
  <si>
    <t>BE_GA</t>
  </si>
  <si>
    <t>BE_MemberAppreciation</t>
  </si>
  <si>
    <t>BE_SpringBoard</t>
  </si>
  <si>
    <t>BE_Borrels</t>
  </si>
  <si>
    <t>BE_BoardBorrel_PPE_Costs</t>
  </si>
  <si>
    <t>BE_BoardBorrel_PPE_Member</t>
  </si>
  <si>
    <t>BE_BoardBorrel_PPE_NonMember</t>
  </si>
  <si>
    <t>BE_BoardBorrel_AUC_Member</t>
  </si>
  <si>
    <t>BE_BoardBorrel_AUC_NonMember</t>
  </si>
  <si>
    <t>BE_BoardBorrel_MAA_Tokens</t>
  </si>
  <si>
    <t>BE_BoardBorrel_MAA_Member</t>
  </si>
  <si>
    <t>BE_BoardBorrel_MAA_NonMember</t>
  </si>
  <si>
    <t>BE_ElectionNight_NonMember</t>
  </si>
  <si>
    <t>BE_ElectionNight_Member</t>
  </si>
  <si>
    <t>BE_ElectionNight_Costs</t>
  </si>
  <si>
    <t>BE_IntroParty</t>
  </si>
  <si>
    <t>AW_CharityWork_Snacks</t>
  </si>
  <si>
    <t>AW_SpeakerEvent_Member</t>
  </si>
  <si>
    <t>AW_SpeakerEvent_NonMember</t>
  </si>
  <si>
    <t>AW_SpeakerEvent_Snacks</t>
  </si>
  <si>
    <t>AW_AdventCalendar</t>
  </si>
  <si>
    <t>AW_EarthCleanup</t>
  </si>
  <si>
    <t>AW_</t>
  </si>
  <si>
    <t>AC_StudySessions_Snacks</t>
  </si>
  <si>
    <t>AC_TheHague_NonMember</t>
  </si>
  <si>
    <t>AC_TheHague_Member</t>
  </si>
  <si>
    <t>AC_TheHague_Transportation</t>
  </si>
  <si>
    <t>AC_BookExchange_Snacks</t>
  </si>
  <si>
    <t>AC_DebateCup_Prize</t>
  </si>
  <si>
    <t>AC_DrunkDebate_Drinks</t>
  </si>
  <si>
    <t>AC_DrunkDebate_Snacks</t>
  </si>
  <si>
    <t>AC_DrunkDebate_Member</t>
  </si>
  <si>
    <t>AC_DrunkDebate_NonMember</t>
  </si>
  <si>
    <t>AC_GameNight_Member</t>
  </si>
  <si>
    <t>AC_GameNight_NonMember</t>
  </si>
  <si>
    <t>AC_RhetoricSpeechEvent_Rent</t>
  </si>
  <si>
    <t>AC_RhetoricSpeechEvent_Flowers</t>
  </si>
  <si>
    <t>AC_Brussels_Transport</t>
  </si>
  <si>
    <t>AC_Brussels_Member</t>
  </si>
  <si>
    <t>AC_Brussels_NonMember</t>
  </si>
  <si>
    <t>AC_DebateSessions</t>
  </si>
  <si>
    <t>AC_</t>
  </si>
  <si>
    <t>ART_Gingerbread_Member</t>
  </si>
  <si>
    <t>ART_Gingerbread_NonMember</t>
  </si>
  <si>
    <t>ART_Gingerbread_Price</t>
  </si>
  <si>
    <t>ART_Gingerbread_Gingerbread</t>
  </si>
  <si>
    <t>ART_Gingerbread_Decoration</t>
  </si>
  <si>
    <t>ART_SipandPaint_Member</t>
  </si>
  <si>
    <t>ART_SipandPaint_NonMember</t>
  </si>
  <si>
    <t>ART_SipandPaint_Supplies</t>
  </si>
  <si>
    <t>ART_SipandPaint_Snacks</t>
  </si>
  <si>
    <t>ART_MovieNight_Snacks</t>
  </si>
  <si>
    <t>ART_Museumkaart</t>
  </si>
  <si>
    <t>ART_Totebag_Snacks</t>
  </si>
  <si>
    <t>ART_Totebag_Totebag</t>
  </si>
  <si>
    <t>ART_Totebag_Member</t>
  </si>
  <si>
    <t>ART_Totebag_NonMember</t>
  </si>
  <si>
    <t>ART_Beads_Supplies</t>
  </si>
  <si>
    <t>PT_Transition_Drinks</t>
  </si>
  <si>
    <t>PT_Transition_Decoration</t>
  </si>
  <si>
    <t xml:space="preserve">PT_Transition_DJ </t>
  </si>
  <si>
    <t>PT_Transition_Member</t>
  </si>
  <si>
    <t>PT_Transition_NonMember</t>
  </si>
  <si>
    <t>PT_Christmas_Rent</t>
  </si>
  <si>
    <t>PT_Christmas_OtherAssociations</t>
  </si>
  <si>
    <t>PT_Christmas_Decoration</t>
  </si>
  <si>
    <t>PT_Christmas_DJ</t>
  </si>
  <si>
    <t>PT_Christmas_Member</t>
  </si>
  <si>
    <t>PT_Christmas_NonMember</t>
  </si>
  <si>
    <t>PT_NewYearsBorrel_Member</t>
  </si>
  <si>
    <t>PT_NewYearsBorrel_NonMember</t>
  </si>
  <si>
    <t>PT_NewYearsBorrel_Drinks</t>
  </si>
  <si>
    <t>PT_BeerPong_Beer</t>
  </si>
  <si>
    <t>PT_BeerPong_Supplies</t>
  </si>
  <si>
    <t>PT_BeerPong_Member</t>
  </si>
  <si>
    <t>PT_BeerPong_NonMember</t>
  </si>
  <si>
    <t>PT_SilentDisco_Location</t>
  </si>
  <si>
    <t>PT_SilentDisco_DJ</t>
  </si>
  <si>
    <t>PT_Formal_Decorations</t>
  </si>
  <si>
    <t>PT_Formal_Rent</t>
  </si>
  <si>
    <t>PT_Formal_Photographer</t>
  </si>
  <si>
    <t>PT_Formal_DJ</t>
  </si>
  <si>
    <t>PT_Formal_Band</t>
  </si>
  <si>
    <t>PT_Formal_Member</t>
  </si>
  <si>
    <t>PT_Formal_NonMember</t>
  </si>
  <si>
    <t>PT_BoatParty_</t>
  </si>
  <si>
    <t>PT_BoatParty_Member</t>
  </si>
  <si>
    <t>PT_BoatParty_NonMember</t>
  </si>
  <si>
    <t>SP_PoolBorrel_Tables</t>
  </si>
  <si>
    <t>SP_PoolBorrel_Tokens</t>
  </si>
  <si>
    <t>SP_PoolBorrel_Member</t>
  </si>
  <si>
    <t>SP_PoolBorrel_NonMember</t>
  </si>
  <si>
    <t>SP_HIIT_Member</t>
  </si>
  <si>
    <t>SP_HIIT_NonMember</t>
  </si>
  <si>
    <t>SP_HIIT_Rent</t>
  </si>
  <si>
    <t>SP_SpinClass_Rent</t>
  </si>
  <si>
    <t>SP_SpinClass_Drinks&amp;Snacks</t>
  </si>
  <si>
    <t>SP_SpinClass_Member</t>
  </si>
  <si>
    <t>SP_SpinClass_NonMember</t>
  </si>
  <si>
    <t>SP_FootballTournament_Member</t>
  </si>
  <si>
    <t>SP_FootballTournament_NonMember</t>
  </si>
  <si>
    <t xml:space="preserve">SP_FootballTournament_Fields </t>
  </si>
  <si>
    <t>SP_FootballTournament_Snacks&amp;Supplies</t>
  </si>
  <si>
    <t>SP_IceSkating_Snacks</t>
  </si>
  <si>
    <t>SP_IceSkating_Tickets</t>
  </si>
  <si>
    <t>SP_IceSkating_Member</t>
  </si>
  <si>
    <t>SP_IceSkating_NonMember</t>
  </si>
  <si>
    <t>SP_Fuzball_Snacks</t>
  </si>
  <si>
    <t>SP_Fuzball_Prize</t>
  </si>
  <si>
    <t>SP_Volleyball_Rent</t>
  </si>
  <si>
    <t>SP_Volleyball_Snacks&amp;Supplies</t>
  </si>
  <si>
    <t>SP_Volleyball_Prize</t>
  </si>
  <si>
    <t>SP_Volleyball_Member</t>
  </si>
  <si>
    <t>SP_Volleyball_NonMember</t>
  </si>
  <si>
    <t>SP_Volleyball_OtherAssociations</t>
  </si>
  <si>
    <t>BD_RevealBorrel_Supplies</t>
  </si>
  <si>
    <t>BD_RevealBorrel_Drinks</t>
  </si>
  <si>
    <t>BD_RevealBorrel_Member</t>
  </si>
  <si>
    <t>BD_RevealBorrel_NonMember</t>
  </si>
  <si>
    <t>BD_GameNight_Tokens</t>
  </si>
  <si>
    <t>BD_GameNight_Supplies</t>
  </si>
  <si>
    <t>BD_GameNight_Member</t>
  </si>
  <si>
    <t>BD_GameNight_NonMember</t>
  </si>
  <si>
    <t>BD_Bowling_OpenBar</t>
  </si>
  <si>
    <t>BD_Bowling_Rent</t>
  </si>
  <si>
    <t>BD_Bowling_Member</t>
  </si>
  <si>
    <t>BD_Bowling_NonMember</t>
  </si>
  <si>
    <t>BD_Boozy_Supplies</t>
  </si>
  <si>
    <t>BD_Boozy_Food&amp;Drinks</t>
  </si>
  <si>
    <t>BD_Boozy_Spectator_Member</t>
  </si>
  <si>
    <t>BD_Boozy_Spectator_NonMember</t>
  </si>
  <si>
    <t>BD_Boozy_Participant_Member</t>
  </si>
  <si>
    <t>BD_Boozy_Participant_NonMember</t>
  </si>
  <si>
    <t>BD_EasterEgg_Supplies</t>
  </si>
  <si>
    <t>BD_ValentinesNotes_Supplies</t>
  </si>
  <si>
    <t>BD_Hiking_Food/Drinks</t>
  </si>
  <si>
    <t>AIMTeam_Volleyball_Expenses</t>
  </si>
  <si>
    <t>AIMTeam_Volleyball_Ticket</t>
  </si>
  <si>
    <t>AIMTeam_Football_Expenses</t>
  </si>
  <si>
    <t>AIMTeam_Football_Ticket</t>
  </si>
  <si>
    <t>FMW_Tickets</t>
  </si>
  <si>
    <t>FMW_Supplies</t>
  </si>
  <si>
    <t>FMW_Tokens</t>
  </si>
  <si>
    <t>FMW_Unforeseen</t>
  </si>
  <si>
    <t>FMW_Accommodation</t>
  </si>
  <si>
    <t>FMW_Transportation</t>
  </si>
  <si>
    <t>FMW_Gas</t>
  </si>
  <si>
    <t>FMW_Food</t>
  </si>
  <si>
    <t>FMW_Drinks</t>
  </si>
  <si>
    <t>TYW_Cleaning</t>
  </si>
  <si>
    <t>TYW_Location</t>
  </si>
  <si>
    <t>TYW_Drinks</t>
  </si>
  <si>
    <t>TYW_Food</t>
  </si>
  <si>
    <t>TYW_Unforseen</t>
  </si>
  <si>
    <t>TYW_Transport</t>
  </si>
  <si>
    <t>TYW_Tickets</t>
  </si>
  <si>
    <t>TYW_Activities</t>
  </si>
  <si>
    <t>TYW_DrinksSale</t>
  </si>
  <si>
    <t>TYW_Member</t>
  </si>
  <si>
    <t>TYW_NonMember</t>
  </si>
  <si>
    <t>Cash Income</t>
  </si>
  <si>
    <t>Cash Expense</t>
  </si>
  <si>
    <t>BaselinetoCurrent</t>
  </si>
  <si>
    <t>CurrenttoBaseline</t>
  </si>
  <si>
    <t xml:space="preserve">LustrumtoCurrent </t>
  </si>
  <si>
    <t>CurrenttoLustrum</t>
  </si>
  <si>
    <t>UvA_Sponsorship</t>
  </si>
  <si>
    <t>YB_Books</t>
  </si>
  <si>
    <t>YB_Photos</t>
  </si>
  <si>
    <t>AIMW_</t>
  </si>
  <si>
    <t>AMSUnlocked_Return</t>
  </si>
  <si>
    <t>AMSUnlocked_Investment</t>
  </si>
  <si>
    <t>AMSUnlocked_Unforeseen</t>
  </si>
  <si>
    <t>AIMTeams_MusicTaskForce</t>
  </si>
  <si>
    <t>TC_Transportation</t>
  </si>
  <si>
    <t>TC_Accomodation</t>
  </si>
  <si>
    <t>TC_Food</t>
  </si>
  <si>
    <t>TC_Drinks</t>
  </si>
  <si>
    <t>TC_Unforseen</t>
  </si>
  <si>
    <t>TC_Activities</t>
  </si>
  <si>
    <t>TC_Member</t>
  </si>
  <si>
    <t>BO_</t>
  </si>
  <si>
    <t>MRCH_OrderCrewneck</t>
  </si>
  <si>
    <t>MRCH_OrderHoodie</t>
  </si>
  <si>
    <t>MRCH_BoughtHoodie</t>
  </si>
  <si>
    <t xml:space="preserve">MRCH_BoughtCrewneck </t>
  </si>
  <si>
    <t>AIMClubs_MusicTaskForce_RoomRental</t>
  </si>
  <si>
    <t>AIMClubs_MusicTaskForce_Snacks</t>
  </si>
  <si>
    <t>BG_LustrumSavingsExpense</t>
  </si>
  <si>
    <t>BG_LustrumSavingsIncome</t>
  </si>
  <si>
    <t>BG_SavingsExpense</t>
  </si>
  <si>
    <t>BG_SavingsIncome</t>
  </si>
  <si>
    <t>Interest_ING</t>
  </si>
  <si>
    <t>Lustrum_Expense</t>
  </si>
  <si>
    <t>Kostensoort</t>
  </si>
  <si>
    <t>Amount (EUR)</t>
  </si>
  <si>
    <t>Date</t>
  </si>
  <si>
    <t>Name / Description</t>
  </si>
  <si>
    <t>Notifications</t>
  </si>
  <si>
    <t>Reciept/Proof</t>
  </si>
  <si>
    <t>Comments</t>
  </si>
  <si>
    <t>ING Saldo</t>
  </si>
  <si>
    <t>Account</t>
  </si>
  <si>
    <t>Counterparty</t>
  </si>
  <si>
    <t>Code</t>
  </si>
  <si>
    <t>Debit/credit</t>
  </si>
  <si>
    <t>Transaction type</t>
  </si>
  <si>
    <t xml:space="preserve">Moneybird </t>
  </si>
  <si>
    <t>BG_Account23/24</t>
  </si>
  <si>
    <t>Zakelijke Oranje Spaarrekening</t>
  </si>
  <si>
    <t>NL51INGB0006734394</t>
  </si>
  <si>
    <t>GT</t>
  </si>
  <si>
    <t>Online Banking</t>
  </si>
  <si>
    <t>Debit</t>
  </si>
  <si>
    <t>Inleg</t>
  </si>
  <si>
    <t xml:space="preserve">Kostensoort </t>
  </si>
  <si>
    <t>Payment Date</t>
  </si>
  <si>
    <t>Transaction Date</t>
  </si>
  <si>
    <t>Payout Date</t>
  </si>
  <si>
    <t>Customer Name</t>
  </si>
  <si>
    <t>Cardholder Name</t>
  </si>
  <si>
    <t>Type</t>
  </si>
  <si>
    <t>Status</t>
  </si>
  <si>
    <t>Amount</t>
  </si>
  <si>
    <t>Processing Fee</t>
  </si>
  <si>
    <t>Net Amount</t>
  </si>
  <si>
    <t>Payment ID</t>
  </si>
  <si>
    <t>Transaction ID</t>
  </si>
  <si>
    <t>Payout ID</t>
  </si>
  <si>
    <t>Order #</t>
  </si>
  <si>
    <t>Mathilde Soblik</t>
  </si>
  <si>
    <t>Credit</t>
  </si>
  <si>
    <t>Paid Out</t>
  </si>
  <si>
    <t>Credit/Debit Cards</t>
  </si>
  <si>
    <t>N/A</t>
  </si>
  <si>
    <t>Opname</t>
  </si>
  <si>
    <t>Colour Coding of Kostenplaats:</t>
  </si>
  <si>
    <t>CANCELLED OR POSTPONED</t>
  </si>
  <si>
    <t>NEW EVENT (NOT IN PREVIOUS YEAR PLAN)</t>
  </si>
  <si>
    <t>TOOK PLACE AS PLANNED</t>
  </si>
  <si>
    <t xml:space="preserve">CURRENTLY FOR BUDGET REVIEW </t>
  </si>
  <si>
    <t>PPLE  SPONSORSHIP THAT HAS NOT BE DECIDED/DISCUSSED</t>
  </si>
  <si>
    <t>Kostenplaats</t>
  </si>
  <si>
    <t>Budget</t>
  </si>
  <si>
    <t>Realisation</t>
  </si>
  <si>
    <t>Expenses</t>
  </si>
  <si>
    <t>Ticket Amount</t>
  </si>
  <si>
    <t>Ticket Price</t>
  </si>
  <si>
    <t>Income</t>
  </si>
  <si>
    <t>PPLE Funding</t>
  </si>
  <si>
    <t>Total</t>
  </si>
  <si>
    <t>Remaining/ Overrun</t>
  </si>
  <si>
    <t>Awareness Volunteer Day</t>
  </si>
  <si>
    <t>Awareness Christmas Food Donation</t>
  </si>
  <si>
    <t>Awareness Sexual Awareness Event</t>
  </si>
  <si>
    <t>Awareness Common Ground Event</t>
  </si>
  <si>
    <t>Awareness International Day</t>
  </si>
  <si>
    <t>Awareness Flea Market</t>
  </si>
  <si>
    <t xml:space="preserve">Academic Study Sessions </t>
  </si>
  <si>
    <t>Academic Rhetoric Speech Event</t>
  </si>
  <si>
    <t>Academic Company Visit</t>
  </si>
  <si>
    <t>Aca</t>
  </si>
  <si>
    <t>Academic Drunk Debate with AUC</t>
  </si>
  <si>
    <t>Academic Institution Visit</t>
  </si>
  <si>
    <t>Academic Pyjama Pub Quiz</t>
  </si>
  <si>
    <t>Academic Debate with Machiavelli</t>
  </si>
  <si>
    <t>Academic Benno's Book Club</t>
  </si>
  <si>
    <t>Academic Debate Tournament with PPE</t>
  </si>
  <si>
    <t>Academic MUN</t>
  </si>
  <si>
    <t>Arts Recurring Movie Nights</t>
  </si>
  <si>
    <t>Arts Gingerbread House Competition</t>
  </si>
  <si>
    <t>Arts Totebag Painting</t>
  </si>
  <si>
    <t>Arts Valentines Candy Grams</t>
  </si>
  <si>
    <t>Arts Museum Card</t>
  </si>
  <si>
    <t>Arts Sketching at Museumplein</t>
  </si>
  <si>
    <t>Arts Sip n Paint</t>
  </si>
  <si>
    <t>Arts Vision Board</t>
  </si>
  <si>
    <t>Arts Mural</t>
  </si>
  <si>
    <t xml:space="preserve">Sports Fuzball Tournament </t>
  </si>
  <si>
    <t>Sports HIIT 1</t>
  </si>
  <si>
    <t xml:space="preserve">Sports Ice Skating </t>
  </si>
  <si>
    <t>Sports Yoga Morning</t>
  </si>
  <si>
    <t>Sports Pool Borrel</t>
  </si>
  <si>
    <t>Sports Footbal Tournament</t>
  </si>
  <si>
    <t>Sports Beer Pong</t>
  </si>
  <si>
    <t>Sports Colour Run</t>
  </si>
  <si>
    <t>Sports Boat Race</t>
  </si>
  <si>
    <t>Sports AIM Olympics</t>
  </si>
  <si>
    <t>Party Transition</t>
  </si>
  <si>
    <t>Party Around the World Borrel</t>
  </si>
  <si>
    <t>Party Winter Wonderland Party</t>
  </si>
  <si>
    <t>Party Casino Night</t>
  </si>
  <si>
    <t>Party Valentines</t>
  </si>
  <si>
    <t>Party Women's Day Borrel</t>
  </si>
  <si>
    <t>Party Spring Formal</t>
  </si>
  <si>
    <t>Party Rooftop Party</t>
  </si>
  <si>
    <t xml:space="preserve">Cross-Connect Karaoke </t>
  </si>
  <si>
    <t>Cross-Connect Murder Mystery Borrel</t>
  </si>
  <si>
    <t>Cross-Connect Picnic</t>
  </si>
  <si>
    <t>Travel Bonn</t>
  </si>
  <si>
    <t>Travel The Hague</t>
  </si>
  <si>
    <t>Travel Brussels</t>
  </si>
  <si>
    <t>Travel Paris</t>
  </si>
  <si>
    <t>AMS Unlocked</t>
  </si>
  <si>
    <t>Third Year Weekend</t>
  </si>
  <si>
    <t>AIM Teams - Football</t>
  </si>
  <si>
    <t>AIM Teams - Volleyball</t>
  </si>
  <si>
    <t>Freshman Weekend</t>
  </si>
  <si>
    <t>Yearbook</t>
  </si>
  <si>
    <t>Memberships</t>
  </si>
  <si>
    <t>AIM Clubs</t>
  </si>
  <si>
    <t>Board - General</t>
  </si>
  <si>
    <t>Board - Events</t>
  </si>
  <si>
    <t>Board - Organized Event</t>
  </si>
  <si>
    <t>END TOTAL</t>
  </si>
  <si>
    <t>Cashbook ING:</t>
  </si>
  <si>
    <t>Current + Sponsorship</t>
  </si>
  <si>
    <t xml:space="preserve">Difference </t>
  </si>
  <si>
    <t xml:space="preserve"> </t>
  </si>
  <si>
    <t>Memberships 25/26</t>
  </si>
  <si>
    <t>PPLE Sponsorship</t>
  </si>
  <si>
    <t>Remaining / Overrun</t>
  </si>
  <si>
    <t xml:space="preserve">Membership </t>
  </si>
  <si>
    <t xml:space="preserve"> Kostenplaats</t>
  </si>
  <si>
    <t xml:space="preserve"> Kostensoort</t>
  </si>
  <si>
    <t>Internal Expenses</t>
  </si>
  <si>
    <t>ASVA Membership</t>
  </si>
  <si>
    <t>Account 25/26</t>
  </si>
  <si>
    <t>Moving to/from Lustrum Savings</t>
  </si>
  <si>
    <t>Moving to/from Baseline Savings</t>
  </si>
  <si>
    <t>Board 25/26 Sweaters</t>
  </si>
  <si>
    <t>Board Room (Office &amp; Cleaning Supplies)</t>
  </si>
  <si>
    <t>Corporate Sponsors</t>
  </si>
  <si>
    <t>Canva Pro</t>
  </si>
  <si>
    <t>Photos</t>
  </si>
  <si>
    <t xml:space="preserve">Domain </t>
  </si>
  <si>
    <t>External Income Dutch Course</t>
  </si>
  <si>
    <t>First AID x7</t>
  </si>
  <si>
    <t>Safe Person Training</t>
  </si>
  <si>
    <t>Notary Costs</t>
  </si>
  <si>
    <t>Bystander Training (Faculty of Law)</t>
  </si>
  <si>
    <t xml:space="preserve">ING Credit Card Costs </t>
  </si>
  <si>
    <t>ING Transaction Costs</t>
  </si>
  <si>
    <t>Old Board Appreciation</t>
  </si>
  <si>
    <t>Lustrum Fund</t>
  </si>
  <si>
    <t>Moneybird</t>
  </si>
  <si>
    <t>Transportation Costs</t>
  </si>
  <si>
    <t>Unforeseen Costs</t>
  </si>
  <si>
    <t>Unforeseen Income</t>
  </si>
  <si>
    <t>Treasurer Excel Course</t>
  </si>
  <si>
    <t>Wix Email</t>
  </si>
  <si>
    <t>Wix Website</t>
  </si>
  <si>
    <t>Sub Total</t>
  </si>
  <si>
    <t>Events</t>
  </si>
  <si>
    <t>Association meetings</t>
  </si>
  <si>
    <t>Boardweekend (Nov)</t>
  </si>
  <si>
    <t>Boardweekend (Jan)</t>
  </si>
  <si>
    <t>Boardweekend (May)</t>
  </si>
  <si>
    <t>Boardweekend (Transition weekend)</t>
  </si>
  <si>
    <t>COBO 2025</t>
  </si>
  <si>
    <t xml:space="preserve">Committee Appreciation </t>
  </si>
  <si>
    <t>Committee Presentation/Workshop</t>
  </si>
  <si>
    <t>General Assemblies 25/26</t>
  </si>
  <si>
    <t>Member Appreciation</t>
  </si>
  <si>
    <t>Career Day</t>
  </si>
  <si>
    <t>Sub Total Organized Events</t>
  </si>
  <si>
    <t xml:space="preserve"> END TOTAL</t>
  </si>
  <si>
    <t>Realisations</t>
  </si>
  <si>
    <t>Exp. Q Sold</t>
  </si>
  <si>
    <t>Price Per Unit</t>
  </si>
  <si>
    <t>Board-Organized Borrel 1</t>
  </si>
  <si>
    <t>Venue</t>
  </si>
  <si>
    <t xml:space="preserve">Tokens </t>
  </si>
  <si>
    <t xml:space="preserve">Member Tickets </t>
  </si>
  <si>
    <t>Non-Member Tickets</t>
  </si>
  <si>
    <t>Event Total</t>
  </si>
  <si>
    <t>Board-Organized Borrel 2</t>
  </si>
  <si>
    <t>Board-Organized Borrel 3</t>
  </si>
  <si>
    <t>Board-Organized Borrel 4</t>
  </si>
  <si>
    <t>Borrel 1</t>
  </si>
  <si>
    <t>Location</t>
  </si>
  <si>
    <t>Drinks</t>
  </si>
  <si>
    <t>Borrel 2</t>
  </si>
  <si>
    <t>Borrel 3 (Collaboration)</t>
  </si>
  <si>
    <t>Intro Party</t>
  </si>
  <si>
    <t>Decorations</t>
  </si>
  <si>
    <t>DJ</t>
  </si>
  <si>
    <t>Other associations share</t>
  </si>
  <si>
    <t>Unforseen Costs</t>
  </si>
  <si>
    <t>Graduation Borrel</t>
  </si>
  <si>
    <t xml:space="preserve"># of Tickets </t>
  </si>
  <si>
    <t>Price of Tickets</t>
  </si>
  <si>
    <t>CV Writing Event</t>
  </si>
  <si>
    <t>Snacks</t>
  </si>
  <si>
    <t xml:space="preserve">Rhetoric Speech Event </t>
  </si>
  <si>
    <t>Venue + Drinks</t>
  </si>
  <si>
    <t>Roses</t>
  </si>
  <si>
    <t>Company Visit</t>
  </si>
  <si>
    <t>Gift</t>
  </si>
  <si>
    <t>Drunk Debate with AUC</t>
  </si>
  <si>
    <t>Snacks/Drinks</t>
  </si>
  <si>
    <t>Prize</t>
  </si>
  <si>
    <t>Institution Visit</t>
  </si>
  <si>
    <t>GIft</t>
  </si>
  <si>
    <t>Pyjama Pub Quiz (with Party)</t>
  </si>
  <si>
    <t>Member Tickets</t>
  </si>
  <si>
    <t>Debate with Machiavelli</t>
  </si>
  <si>
    <t xml:space="preserve">Snacks </t>
  </si>
  <si>
    <t>Benno's Book Club</t>
  </si>
  <si>
    <t>Non-member Tickets</t>
  </si>
  <si>
    <t>Debate Tournament with PPE</t>
  </si>
  <si>
    <t>Study Sessions</t>
  </si>
  <si>
    <t>MUN (+ 3 Training Sessions)</t>
  </si>
  <si>
    <t>Snacks/Supplies</t>
  </si>
  <si>
    <t>Unforseen</t>
  </si>
  <si>
    <t># of Tickets</t>
  </si>
  <si>
    <t>Volunteer Day</t>
  </si>
  <si>
    <t>Supplies</t>
  </si>
  <si>
    <t>Sexual Awareness Event</t>
  </si>
  <si>
    <t>Condoms</t>
  </si>
  <si>
    <t>Decoration</t>
  </si>
  <si>
    <t>Common Ground Event</t>
  </si>
  <si>
    <t>Drinks/Snacks</t>
  </si>
  <si>
    <t>International Day</t>
  </si>
  <si>
    <t>Tokens</t>
  </si>
  <si>
    <t>Flea Market (with Academic)</t>
  </si>
  <si>
    <t xml:space="preserve"> Movie Night (November)</t>
  </si>
  <si>
    <t>Snacks&amp;Drinks</t>
  </si>
  <si>
    <t>Supplies &amp; Decoration</t>
  </si>
  <si>
    <t>Gingerbread House Competition</t>
  </si>
  <si>
    <t>Gingerbread</t>
  </si>
  <si>
    <t>Snacks/Prize</t>
  </si>
  <si>
    <t>Tote Bag Painting</t>
  </si>
  <si>
    <t>Totebags</t>
  </si>
  <si>
    <t>Paint and Supplies</t>
  </si>
  <si>
    <t>Valentines Candy Grams</t>
  </si>
  <si>
    <t>Heart Lollies</t>
  </si>
  <si>
    <t>Paper</t>
  </si>
  <si>
    <t xml:space="preserve">Museum card </t>
  </si>
  <si>
    <t>Museumcards</t>
  </si>
  <si>
    <t>Sketching at Museumplein</t>
  </si>
  <si>
    <t>Drawing Paper</t>
  </si>
  <si>
    <t>Drawing Pencils</t>
  </si>
  <si>
    <t>Event total</t>
  </si>
  <si>
    <t>Sip n Paint (with Cross-Connect)</t>
  </si>
  <si>
    <t>Art Supplies</t>
  </si>
  <si>
    <t>Vision Board</t>
  </si>
  <si>
    <t xml:space="preserve">Supplies  </t>
  </si>
  <si>
    <t>Mural Painting</t>
  </si>
  <si>
    <t>Painting Supplies</t>
  </si>
  <si>
    <t>Trip to Bonn</t>
  </si>
  <si>
    <t>Transportation</t>
  </si>
  <si>
    <t>Trip to The Hague</t>
  </si>
  <si>
    <t xml:space="preserve">Transportation </t>
  </si>
  <si>
    <t>Trip to Brussels</t>
  </si>
  <si>
    <t>Trip to Paris</t>
  </si>
  <si>
    <t>Accomodation</t>
  </si>
  <si>
    <t>Food</t>
  </si>
  <si>
    <t>Boat Tour</t>
  </si>
  <si>
    <t>Public Transportation</t>
  </si>
  <si>
    <t>Discount Tickets</t>
  </si>
  <si>
    <t>Halloween 2025</t>
  </si>
  <si>
    <t>Welcome Drinks</t>
  </si>
  <si>
    <t>Open Bar</t>
  </si>
  <si>
    <t>Photographer</t>
  </si>
  <si>
    <t>Around the World Borrel</t>
  </si>
  <si>
    <t>Unforseen costs</t>
  </si>
  <si>
    <t>Winter Wonderland Party</t>
  </si>
  <si>
    <t>Casino Night</t>
  </si>
  <si>
    <t>Valentines</t>
  </si>
  <si>
    <t>WePartyNow</t>
  </si>
  <si>
    <t>Women's Day Borrel</t>
  </si>
  <si>
    <t>Spring Formal</t>
  </si>
  <si>
    <t>Location and Drinks</t>
  </si>
  <si>
    <t>Drinks sales</t>
  </si>
  <si>
    <t>Rooftop Party</t>
  </si>
  <si>
    <t>Halloween 2026</t>
  </si>
  <si>
    <t>House Reveal Karaoke Borrel</t>
  </si>
  <si>
    <t>Murder Mystery Borrel</t>
  </si>
  <si>
    <t>Venue/Tokens</t>
  </si>
  <si>
    <t>Materials</t>
  </si>
  <si>
    <t>Picnic and Movie in Vondelpark</t>
  </si>
  <si>
    <t xml:space="preserve">End Total </t>
  </si>
  <si>
    <t xml:space="preserve">Fuzball Tournament </t>
  </si>
  <si>
    <t xml:space="preserve">Event Total </t>
  </si>
  <si>
    <t>HIIT 1</t>
  </si>
  <si>
    <t>Ice Skating (with Cross-Connect)</t>
  </si>
  <si>
    <t>Skates rent</t>
  </si>
  <si>
    <t>Yoga Morning</t>
  </si>
  <si>
    <t>Game Night / Pool Borrel (with Cross-Connect)</t>
  </si>
  <si>
    <t>Tables</t>
  </si>
  <si>
    <t xml:space="preserve">Football Tournament </t>
  </si>
  <si>
    <t>Drinks / Snacks</t>
  </si>
  <si>
    <t>Trophy/Prize</t>
  </si>
  <si>
    <t>Colour Run</t>
  </si>
  <si>
    <t>Dye</t>
  </si>
  <si>
    <t>Beer Pong Tournament</t>
  </si>
  <si>
    <t>Boat Race</t>
  </si>
  <si>
    <t>Boats</t>
  </si>
  <si>
    <t>AIM Olympics</t>
  </si>
  <si>
    <t xml:space="preserve">Location </t>
  </si>
  <si>
    <t>Food/Drinks</t>
  </si>
  <si>
    <t>Unforeseen</t>
  </si>
  <si>
    <t>Member Tickets Participant</t>
  </si>
  <si>
    <t>Non-Member Tickets Participant</t>
  </si>
  <si>
    <t xml:space="preserve">Expenses </t>
  </si>
  <si>
    <t>Expsenses</t>
  </si>
  <si>
    <t>Exp. Q sold</t>
  </si>
  <si>
    <t>Price per unit</t>
  </si>
  <si>
    <t>Accommodation</t>
  </si>
  <si>
    <t>Transport</t>
  </si>
  <si>
    <t>General Supplies</t>
  </si>
  <si>
    <t>Gas</t>
  </si>
  <si>
    <t>Staff Merch</t>
  </si>
  <si>
    <t>Token Sale</t>
  </si>
  <si>
    <t>Tickets Member</t>
  </si>
  <si>
    <t>Total (Inc.)</t>
  </si>
  <si>
    <t>Cleaning</t>
  </si>
  <si>
    <t>Merch</t>
  </si>
  <si>
    <t>Activities</t>
  </si>
  <si>
    <t>Drink Sales</t>
  </si>
  <si>
    <t>Tickets</t>
  </si>
  <si>
    <t>Total Expenses</t>
  </si>
  <si>
    <t>Books</t>
  </si>
  <si>
    <t>Park Introduction Event</t>
  </si>
  <si>
    <t>Bowling</t>
  </si>
  <si>
    <t>Supplies &amp; Snacks</t>
  </si>
  <si>
    <t>Club</t>
  </si>
  <si>
    <t xml:space="preserve">Karaokee </t>
  </si>
  <si>
    <t xml:space="preserve">Tickets </t>
  </si>
  <si>
    <t>Intro day</t>
  </si>
  <si>
    <t xml:space="preserve">Ticket sale (3euros) </t>
  </si>
  <si>
    <t xml:space="preserve">Pub crawl </t>
  </si>
  <si>
    <t>Pizza and Drinks</t>
  </si>
  <si>
    <t xml:space="preserve">Drinks </t>
  </si>
  <si>
    <t>Ticket sale (4euros)</t>
  </si>
  <si>
    <t xml:space="preserve">avenger hunt + pizza party </t>
  </si>
  <si>
    <t xml:space="preserve">each day </t>
  </si>
  <si>
    <t>Vouchers</t>
  </si>
  <si>
    <t xml:space="preserve">Final Borrel </t>
  </si>
  <si>
    <t>Beer</t>
  </si>
  <si>
    <t>Remaining</t>
  </si>
  <si>
    <t>Festival AIM</t>
  </si>
  <si>
    <t xml:space="preserve">Investment </t>
  </si>
  <si>
    <t xml:space="preserve">Liquidity </t>
  </si>
  <si>
    <t>Promissing Profit</t>
  </si>
  <si>
    <t>Music Club</t>
  </si>
  <si>
    <t xml:space="preserve">Rooms for Practice </t>
  </si>
  <si>
    <t>AIM Run Club</t>
  </si>
  <si>
    <t>Coffee</t>
  </si>
  <si>
    <t>AIM Football</t>
  </si>
  <si>
    <t xml:space="preserve">Court supplies renting </t>
  </si>
  <si>
    <t>Year Membership Non-Members</t>
  </si>
  <si>
    <t>AIM Volleyball</t>
  </si>
  <si>
    <t xml:space="preserve">TOTAL </t>
  </si>
  <si>
    <t>Item Amount</t>
  </si>
  <si>
    <t>Item Price</t>
  </si>
  <si>
    <t>Bought Crewnecks</t>
  </si>
  <si>
    <t>Bought Hoodies</t>
  </si>
  <si>
    <t>Alice Marrucci</t>
  </si>
  <si>
    <t>€7.18</t>
  </si>
  <si>
    <t>€0.61</t>
  </si>
  <si>
    <t>€6.57</t>
  </si>
  <si>
    <t>d462e2f0-4d56-4d54-a20b-b08aeff7cbe7</t>
  </si>
  <si>
    <t>4aa55d3e-5e18-41ce-a10a-0d42b56b84c7</t>
  </si>
  <si>
    <t>faeebcd6-2d30-4974-87bd-fb413d470f5e</t>
  </si>
  <si>
    <t>David Alexander Langer</t>
  </si>
  <si>
    <t>DE07100123450830940301</t>
  </si>
  <si>
    <t>OV</t>
  </si>
  <si>
    <t>Transfer</t>
  </si>
  <si>
    <t>Name: David Alexander Langer IBAN: DE07100123450830940301 Reference: d3e26e832f304539a1fe84320efa4f9d Date/time: 04-11-2025 15:27:55 Value date: 04/11/2025</t>
  </si>
  <si>
    <t>Stripe Technology Europe Ltd</t>
  </si>
  <si>
    <t>DK8789000000014387</t>
  </si>
  <si>
    <t>Name: Stripe Technology Europe Ltd Description: Study Association W5O9Y7 IBAN: DK8789000000014387 Value date: 31/10/2025</t>
  </si>
  <si>
    <t>Name: Stripe Technology Europe Ltd Description: Study Association F9G9M5 IBAN: DK8789000000014387 Value date: 30/10/2025</t>
  </si>
  <si>
    <t>Name: Stripe Technology Europe Ltd Description: Study Association N7I7R6 IBAN: DK8789000000014387 Value date: 29/10/2025</t>
  </si>
  <si>
    <t>Name: Stripe Technology Europe Ltd Description: Study Association D6D9A6 IBAN: DK8789000000014387 Value date: 28/10/2025</t>
  </si>
  <si>
    <t>Name: Stripe Technology Europe Ltd Description: Study Association F8M4R9 IBAN: DK8789000000014387 Value date: 27/10/2025</t>
  </si>
  <si>
    <t>Kosten Zakelijk Betalingsverkeer</t>
  </si>
  <si>
    <t>DV</t>
  </si>
  <si>
    <t>Various</t>
  </si>
  <si>
    <t>Factuurnr. 2341984638 Betreft IBAN: NL51INGB0006734394 Periode: 01-09-2025 / 30-09-2025 Value date: 26/10/2025</t>
  </si>
  <si>
    <t>Studiever. Eur. Studies</t>
  </si>
  <si>
    <t>NL11TRIO0379717107</t>
  </si>
  <si>
    <t>Name: Studiever. Eur. Studies Description: SES Study Association Glow in the Dark Party Share of Costs IBAN: NL11TRIO0379717107 Reference: 20251024195254TRIONL2UXXXE000096659 Date/time: 24-10-2025 19:52:54 Value date: 24/10/2025</t>
  </si>
  <si>
    <t>Name: Stripe Technology Europe Ltd Description: Study Association R2C5B0 IBAN: DK8789000000014387 Value date: 24/10/2025</t>
  </si>
  <si>
    <t>Name: Stripe Technology Europe Ltd Description: Study Association T7X4G4 IBAN: DK8789000000014387 Value date: 23/10/2025</t>
  </si>
  <si>
    <t>TRADETRACKER NED BV</t>
  </si>
  <si>
    <t>NL86ABNA0627700659</t>
  </si>
  <si>
    <t>Name: TRADETRACKER NED BV Description: Fact.nr.: NL2025N0013037 IBAN: NL86ABNA0627700659 Reference: NL2025N0013037 Date/time: 23-10-2025 09:47:05 Value date: 23/10/2025</t>
  </si>
  <si>
    <t>Name: Stripe Technology Europe Ltd Description: Study Association S5S5A9 IBAN: DK8789000000014387 Value date: 22/10/2025</t>
  </si>
  <si>
    <t>TransIP B.V.</t>
  </si>
  <si>
    <t>NL85INGB0654416265</t>
  </si>
  <si>
    <t>IC</t>
  </si>
  <si>
    <t>SEPA direct debit</t>
  </si>
  <si>
    <t>Name: TransIP B.V. Description: FACTUUR F0000.2510.0011.6350 IBAN: NL85INGB0654416265 Reference: E2E-ID-NL-230618542 Mandate ID: MANDATE-NL-200315305-1 Creditor ID: NL39ZZZ243458990000 Recurrent SEPA direct debit Value date: 22/10/2025</t>
  </si>
  <si>
    <t>Machiavelli</t>
  </si>
  <si>
    <t>NL08INGB0004851137</t>
  </si>
  <si>
    <t>Name: Machiavelli IBAN: NL08INGB0004851137 Reference: 20251012 Glow in the Dark Party SAC Date/time: 21-10-2025 15:46:20 Value date: 21/10/2025</t>
  </si>
  <si>
    <t>Name: Stripe Technology Europe Ltd Description: Study Association K8Z9X0 IBAN: DK8789000000014387 Value date: 21/10/2025</t>
  </si>
  <si>
    <t>Name: Stripe Technology Europe Ltd Description: Study Association Q0V1Y7 IBAN: DK8789000000014387 Value date: 20/10/2025</t>
  </si>
  <si>
    <t>Name: Stripe Technology Europe Ltd Description: Study Association F5S0G6 IBAN: DK8789000000014387 Value date: 17/10/2025</t>
  </si>
  <si>
    <t>Board24/25_Income</t>
  </si>
  <si>
    <t>alice maffoni</t>
  </si>
  <si>
    <t>258ce678-9d1c-4dea-8d76-3ab7cb3f0cb5</t>
  </si>
  <si>
    <t>Apple Pay</t>
  </si>
  <si>
    <t>2d4a195a-ac05-49be-86af-0041875603cc</t>
  </si>
  <si>
    <t>Kata Pogány</t>
  </si>
  <si>
    <t>€0.66</t>
  </si>
  <si>
    <t>€6.52</t>
  </si>
  <si>
    <t>296ead09-7eab-438d-89b8-db82ced8d265</t>
  </si>
  <si>
    <t>iDeal</t>
  </si>
  <si>
    <t>4df271cb-9dbc-4a43-aa01-b2422109b5ac</t>
  </si>
  <si>
    <t>Kim Tran</t>
  </si>
  <si>
    <t>dd9123bb-49eb-4db6-a78b-dacd54629043</t>
  </si>
  <si>
    <t>53bfce0c-9b52-4aab-80f4-748f9e3f51a9</t>
  </si>
  <si>
    <t>Noémi Ammann</t>
  </si>
  <si>
    <t>ac239cb7-0f9d-4c46-b9b4-802a22f231ea</t>
  </si>
  <si>
    <t>1e5b9fab-43db-42f0-b0f8-7b303b21d47a</t>
  </si>
  <si>
    <t>Martha Ruseva</t>
  </si>
  <si>
    <t>05257b0d-6e4d-416d-8d80-b88314db8a64</t>
  </si>
  <si>
    <t>bf5f282e-85ae-4342-9648-b8c05e22046a</t>
  </si>
  <si>
    <t>Philipp Graser</t>
  </si>
  <si>
    <t>€16.41</t>
  </si>
  <si>
    <t>€1.01</t>
  </si>
  <si>
    <t>€15.40</t>
  </si>
  <si>
    <t>3f1bebde-2b73-4fbc-90bc-b4f6ffbeadfc</t>
  </si>
  <si>
    <t>950d9df6-4a87-409d-bd95-a6cf33e475e5</t>
  </si>
  <si>
    <t>Victoria Hirsekorn</t>
  </si>
  <si>
    <t>€9.23</t>
  </si>
  <si>
    <t>€0.70</t>
  </si>
  <si>
    <t>€8.53</t>
  </si>
  <si>
    <t>363b9ad2-4eac-4444-8989-6a0553052cb4</t>
  </si>
  <si>
    <t>9d43504c-3507-405a-8b0e-1fcbcbc48127</t>
  </si>
  <si>
    <t>Isabel Geertman</t>
  </si>
  <si>
    <t>e33190d0-267e-4540-8daa-50af41b99e62</t>
  </si>
  <si>
    <t>eef81047-f467-43e0-9023-8c2a93359b29</t>
  </si>
  <si>
    <t>Sophie van Oosterhout</t>
  </si>
  <si>
    <t>4c6b6d44-4880-4c25-a2e2-5f5d3417c91d</t>
  </si>
  <si>
    <t>e22cc43c-2979-4b68-b6a0-68ae21a113a6</t>
  </si>
  <si>
    <t>Kristina Vatrai</t>
  </si>
  <si>
    <t>d4e4ef5b-0b98-4860-a67d-53a6d5933797</t>
  </si>
  <si>
    <t>d41d9925-8540-4e93-a1e8-12090b0de9ce</t>
  </si>
  <si>
    <t>Tom Hemke</t>
  </si>
  <si>
    <t>d6f6e8a9-e735-42b1-8ea8-527fef37021a</t>
  </si>
  <si>
    <t>Google Pay</t>
  </si>
  <si>
    <t>f8362323-1faf-4f17-8b56-a36974ab87f8</t>
  </si>
  <si>
    <t>Luka Traveller</t>
  </si>
  <si>
    <t>4ee00238-f1df-40ca-a2f3-d7b47e2f93d9</t>
  </si>
  <si>
    <t>a3c0a8ac-3e19-42fe-9e61-3a37f3f04426</t>
  </si>
  <si>
    <t>Simon Sloot</t>
  </si>
  <si>
    <t>€1.11</t>
  </si>
  <si>
    <t>€15.30</t>
  </si>
  <si>
    <t>a2a836b8-27eb-40fc-a4e7-3af3901079cf</t>
  </si>
  <si>
    <t>43948b82-a140-46a2-8c91-7ad6d760f46b</t>
  </si>
  <si>
    <t>Matheus Machado</t>
  </si>
  <si>
    <t>2b097b49-8b24-450d-aa11-581acafc43b7</t>
  </si>
  <si>
    <t>627341a5-e759-4afa-89ff-9985d542dc50</t>
  </si>
  <si>
    <t>Johan Degel</t>
  </si>
  <si>
    <t>8531f22e-38a5-411f-aad5-36ff239b47fe</t>
  </si>
  <si>
    <t>fa85067d-a6be-479b-9b3c-98055178812b</t>
  </si>
  <si>
    <t>Astrid von Sydow</t>
  </si>
  <si>
    <t>62eab9bd-5fbd-44be-8172-eaf07ae84c37</t>
  </si>
  <si>
    <t>367f3503-21d9-427b-b3e3-b9a68ad123ff</t>
  </si>
  <si>
    <t>Nastassia Lyubimov</t>
  </si>
  <si>
    <t xml:space="preserve">Nastassia Lyubimov </t>
  </si>
  <si>
    <t>cc172b8d-e322-4f99-bd11-4dec25fcb991</t>
  </si>
  <si>
    <t>e56553df-e723-47e6-8caf-0d6f3a9b30c1</t>
  </si>
  <si>
    <t>Anton Siemonsma</t>
  </si>
  <si>
    <t>bce2a185-3a26-40fd-8032-f089b0cb6ab0</t>
  </si>
  <si>
    <t>599e4919-d473-411f-a2ff-725882af22fa</t>
  </si>
  <si>
    <t>Joy Schaapman</t>
  </si>
  <si>
    <t>8b7af634-60b9-4265-b3a6-4454b03e041b</t>
  </si>
  <si>
    <t>d13a9586-b571-42dc-b972-78a58879260a</t>
  </si>
  <si>
    <t>Oscar Walkate</t>
  </si>
  <si>
    <t>08a78739-c373-449a-a395-62c119accf29</t>
  </si>
  <si>
    <t>15de2617-de54-49c3-b554-d5550ebbabec</t>
  </si>
  <si>
    <t>jeanne delatte</t>
  </si>
  <si>
    <t>delatte jeanne</t>
  </si>
  <si>
    <t>b87eb153-3e76-4ae3-8e3f-daf34d381a2e</t>
  </si>
  <si>
    <t>8a98e3d9-2b34-4551-94e2-a783407a73cc</t>
  </si>
  <si>
    <t>Minouska van der Heijden</t>
  </si>
  <si>
    <t>4054eb40-7287-40fd-a47f-3e0247588d60</t>
  </si>
  <si>
    <t>5245a840-bbf8-43f8-b732-439bd263707e</t>
  </si>
  <si>
    <t>Jennifer Grootkop</t>
  </si>
  <si>
    <t>b0b7c0c6-a16b-48ca-bd5a-8c81caf27f96</t>
  </si>
  <si>
    <t>34155363-9c30-4a41-8513-a140436f3889</t>
  </si>
  <si>
    <t>Lidia Tokarczyk</t>
  </si>
  <si>
    <t>a88ae52a-e313-4d94-b7bf-d38f6659b58e</t>
  </si>
  <si>
    <t>bb578766-bd09-4ff3-a5cb-d3d3cb6fbebc</t>
  </si>
  <si>
    <t>Ayla de Betue</t>
  </si>
  <si>
    <t>f3d2e2f1-ec9d-4ea2-a3f5-4d05e4fca9a0</t>
  </si>
  <si>
    <t>8ec12188-adc6-4dcd-9e0c-efd80df98290</t>
  </si>
  <si>
    <t>Sara Stornelli</t>
  </si>
  <si>
    <t>4a79ea23-8fdc-49e2-a964-079e06fcaddd</t>
  </si>
  <si>
    <t>10ca1dab-20a1-462a-9900-c5b9d2c7fc19</t>
  </si>
  <si>
    <t>Gaia Faelli</t>
  </si>
  <si>
    <t>1f351328-684a-4be2-b6ca-65bc32de1cfb</t>
  </si>
  <si>
    <t>ea74e90a-d7a4-43da-89a9-49c1561bda3f</t>
  </si>
  <si>
    <t>Felix Alberer</t>
  </si>
  <si>
    <t>cd063b6c-84a2-4a4a-a27a-028656571a8b</t>
  </si>
  <si>
    <t>5403a2ff-2baf-41f4-b5e0-e050e5d8be69</t>
  </si>
  <si>
    <t>Guusje van Oel</t>
  </si>
  <si>
    <t>58637fc6-7a5a-475c-b580-a32b0f34f011</t>
  </si>
  <si>
    <t>df6dda77-1ad9-4d57-bd48-1d4eec7f36ae</t>
  </si>
  <si>
    <t>Noelle Janssen</t>
  </si>
  <si>
    <t>3e7c6368-0af7-48b5-8221-44a072209e7d</t>
  </si>
  <si>
    <t>0e56468b-2154-4a4c-92d6-9b7561f8fb3e</t>
  </si>
  <si>
    <t>Greta Butkevičiūtė</t>
  </si>
  <si>
    <t>3e807925-f62b-499b-9853-5510d79f77c2</t>
  </si>
  <si>
    <t>1653614b-c792-4f0d-ba3c-83894f44e2e5</t>
  </si>
  <si>
    <t>Barbara Shkurenko</t>
  </si>
  <si>
    <t>8a066431-2d8d-48e5-99ec-d87ac43eb93d</t>
  </si>
  <si>
    <t>c9443158-139d-4eb7-8ee0-3ba8406acd1f</t>
  </si>
  <si>
    <t>Beatrice Isaila</t>
  </si>
  <si>
    <t>f94acffe-20a4-450c-bef2-49aa7b859179</t>
  </si>
  <si>
    <t>9f6ad979-d8fa-468f-b412-7ac547adab0f</t>
  </si>
  <si>
    <t>Heloisa Ziolkowski</t>
  </si>
  <si>
    <t>66ff6d4c-3cf3-48c8-83ca-c479ea395f8e</t>
  </si>
  <si>
    <t>dd2c092c-88a6-4d38-94e1-91a2968a4445</t>
  </si>
  <si>
    <t>Safir Cetinkaya</t>
  </si>
  <si>
    <t>ce9f3468-1b51-4dfa-9a7f-45ca44e51abc</t>
  </si>
  <si>
    <t>ac60d5d3-bda7-4158-9d8a-633167db94ee</t>
  </si>
  <si>
    <t>Salomé Brochet</t>
  </si>
  <si>
    <t>8dff1f48-7be7-4b42-87ca-1adb1e5d518f</t>
  </si>
  <si>
    <t>12c1c219-83d5-477d-93cf-dabd78f54623</t>
  </si>
  <si>
    <t>Anouk barendrecht</t>
  </si>
  <si>
    <t>b7b26633-071f-492d-88a9-1cc29e50720e</t>
  </si>
  <si>
    <t>6a037679-9603-4c21-800d-952d45b5ec1a</t>
  </si>
  <si>
    <t>Grethe Tischler</t>
  </si>
  <si>
    <t>cde3c1ad-5dd8-42c9-96fc-4be7da59d9b3</t>
  </si>
  <si>
    <t>4556002e-150d-4d16-9f92-de21f83ace3e</t>
  </si>
  <si>
    <t>Arina Vabistsevits</t>
  </si>
  <si>
    <t>13a337a9-8854-4b63-8a05-4edb655a7e84</t>
  </si>
  <si>
    <t>f7241679-0aab-48a4-adce-46d56cf4f57a</t>
  </si>
  <si>
    <t>Eugénie Catz-Parizot</t>
  </si>
  <si>
    <t>e53d07f3-1da6-40be-9acb-8a84251f5733</t>
  </si>
  <si>
    <t>5dd058a1-2845-4ebd-8e2a-88a63e7a505d</t>
  </si>
  <si>
    <t>Yao Calis</t>
  </si>
  <si>
    <t>ae4e2159-0692-4806-b6df-6b47ac8cd414</t>
  </si>
  <si>
    <t>6ed4f83a-8b58-44aa-941c-8ed63e200e04</t>
  </si>
  <si>
    <t>Jasmin Hirvelä</t>
  </si>
  <si>
    <t>9ee0230f-6676-4144-a444-0f9da8938dff</t>
  </si>
  <si>
    <t>f307e34b-9819-4a5e-9b8d-c90bc5624631</t>
  </si>
  <si>
    <t>Nadezda Levitova</t>
  </si>
  <si>
    <t>a853d0a3-69c0-4157-a0d6-a6fa38f651b5</t>
  </si>
  <si>
    <t>68560fb6-eb1c-47cc-b0f1-af09807802cb</t>
  </si>
  <si>
    <t>Louise Miniconi</t>
  </si>
  <si>
    <t xml:space="preserve">Louise Miniconi </t>
  </si>
  <si>
    <t>379c0a0d-d384-4046-9198-c0aee8bcfd6d</t>
  </si>
  <si>
    <t>3e244bd4-0c21-4a89-aeb7-7ee911f3789b</t>
  </si>
  <si>
    <t>Ashlyn Doyle</t>
  </si>
  <si>
    <t>606aab2c-60e4-44ca-819e-485b2c28445e</t>
  </si>
  <si>
    <t>d7f525f2-a34e-4c19-80cd-6082dc5aaa49</t>
  </si>
  <si>
    <t>Weronika Chimiuk</t>
  </si>
  <si>
    <t>f5e7cd2d-33d5-4a07-8ba9-da665bc1ad20</t>
  </si>
  <si>
    <t>082d6e23-f67c-4cf9-9bcc-c7b1ecc290f5</t>
  </si>
  <si>
    <t>Liviu Taran</t>
  </si>
  <si>
    <t>49bfb49a-985c-4b7e-837a-e4bc6bc82270</t>
  </si>
  <si>
    <t>cb17587f-694a-47dc-b048-990cf69b7fc4</t>
  </si>
  <si>
    <t>Ariana Sangtani</t>
  </si>
  <si>
    <t>A. Sangtani</t>
  </si>
  <si>
    <t>9a3e6f46-3402-45f4-9d03-782125da9503</t>
  </si>
  <si>
    <t>25469e0d-47fc-44d5-9844-7a1fc8b3f6bc</t>
  </si>
  <si>
    <t>Rowen Sargent</t>
  </si>
  <si>
    <t>e3080b61-609c-4dff-b666-1a56eaaa31b5</t>
  </si>
  <si>
    <t>d0ca9c81-9d74-45f9-84a3-9736f4818f43</t>
  </si>
  <si>
    <t>Kyle Davidson</t>
  </si>
  <si>
    <t>12fb2bc9-00c8-47eb-b6fc-b3d8c291f8a4</t>
  </si>
  <si>
    <t>b001a3e8-1364-4df0-ab56-fb0b86297fe7</t>
  </si>
  <si>
    <t>Natalia Kazbanov</t>
  </si>
  <si>
    <t>5e0e54b5-800b-4470-90e4-f75542cb2488</t>
  </si>
  <si>
    <t>dbf80ab3-9c0c-4bb2-8732-8a0c54cccc1f</t>
  </si>
  <si>
    <t>Aleksandra Śpiewak</t>
  </si>
  <si>
    <t>c25ff9f6-c5f9-4799-be5f-b3d6f969169a</t>
  </si>
  <si>
    <t>d123d65e-9950-49bd-b2c6-5997ae233393</t>
  </si>
  <si>
    <t>Roos Majoor</t>
  </si>
  <si>
    <t>16f33057-fd95-4648-9708-dd87a89cc724</t>
  </si>
  <si>
    <t>7507b6ae-bc75-4a20-9a3f-7d12e6fb7de7</t>
  </si>
  <si>
    <t>Louisa Anaïs Ortmanns</t>
  </si>
  <si>
    <t>Caroline Julie Ortmanns</t>
  </si>
  <si>
    <t>fdba99f4-e21c-4e91-82f5-b45acf909567</t>
  </si>
  <si>
    <t>f9357bdd-039e-4180-9274-98e16e05d391</t>
  </si>
  <si>
    <t>PT_TransitionParty_Member</t>
  </si>
  <si>
    <t>PT_TransitionParty_NonMember</t>
  </si>
  <si>
    <t>Alice Durrett</t>
  </si>
  <si>
    <t>523d5a81-4b7d-4b26-b19c-301aa9f9cc08</t>
  </si>
  <si>
    <t>0b9771fe-88c2-459f-95a7-94bf6dab63ca</t>
  </si>
  <si>
    <t>0c01bc55-cedc-4715-9be1-564a6cdb4b98</t>
  </si>
  <si>
    <t>Harshita Rajgaria</t>
  </si>
  <si>
    <t>b9121a6b-106b-4ab0-8c04-efdc5cb08b5e</t>
  </si>
  <si>
    <t>afec22ab-0f54-46c4-a571-f971a6d5d289</t>
  </si>
  <si>
    <t>Jasmine Pintilie</t>
  </si>
  <si>
    <t>e41165bd-4de4-4386-9e95-2bab57b08347</t>
  </si>
  <si>
    <t>1948c68d-15b4-4286-9cd6-59eb959883e0</t>
  </si>
  <si>
    <t>Maite Leushuis</t>
  </si>
  <si>
    <t>€0.76</t>
  </si>
  <si>
    <t>€8.47</t>
  </si>
  <si>
    <t>fc231a32-ec69-453d-ba7a-d6d43bd3cff0</t>
  </si>
  <si>
    <t>b92f4f91-43e4-4889-9fd2-586a9ab319f0</t>
  </si>
  <si>
    <t>David Finn Kuempers</t>
  </si>
  <si>
    <t>David Kuempers</t>
  </si>
  <si>
    <t>6b4f4b50-b11f-476e-8452-3f319def386c</t>
  </si>
  <si>
    <t>e4675ad6-e2e7-461f-8137-bd74e66abb0c</t>
  </si>
  <si>
    <t>Olivia Desbordes</t>
  </si>
  <si>
    <t>17ab8731-16c3-4631-9f47-bc639e41fce7</t>
  </si>
  <si>
    <t>c6db9a11-c4d0-4fb0-9e9f-188a96f5852d</t>
  </si>
  <si>
    <t>Lilly Winkler</t>
  </si>
  <si>
    <t>041f49f5-901c-4381-9b83-09213fe2c2e8</t>
  </si>
  <si>
    <t>dc1bd56e-cded-40d4-ab0d-f6e480e420f8</t>
  </si>
  <si>
    <t>Konrad Koskimo</t>
  </si>
  <si>
    <t>1872838e-3640-4cdd-84fb-5527e8aa2520</t>
  </si>
  <si>
    <t>9fd5af9d-1f50-4854-84af-1742244ce9cd</t>
  </si>
  <si>
    <t>Anna Stevin-Kanok</t>
  </si>
  <si>
    <t>c1bc5700-09b6-4b9b-8d31-980acee3341e</t>
  </si>
  <si>
    <t>a1517123-a079-4146-9882-990cb4916b27</t>
  </si>
  <si>
    <t>Zarah Stier</t>
  </si>
  <si>
    <t>c45a2d89-065e-4243-99be-49b1939b5763</t>
  </si>
  <si>
    <t>70c55125-329c-4e9a-84c3-b5cc0936725e</t>
  </si>
  <si>
    <t>Laura Gonzalez</t>
  </si>
  <si>
    <t>Laura Alegra Gonzalez Oster-Daum</t>
  </si>
  <si>
    <t>acf103b1-f0d1-44a3-8cf8-50e22f01fc96</t>
  </si>
  <si>
    <t>d7550e64-8877-4baa-a1c1-6e972c110f19</t>
  </si>
  <si>
    <t>Aimy Loge</t>
  </si>
  <si>
    <t>cd051796-6768-41fe-8424-e55d41f467fa</t>
  </si>
  <si>
    <t>e6f10dcb-2f6f-41f3-a667-fd23615da223</t>
  </si>
  <si>
    <t>Sarah Appelhans</t>
  </si>
  <si>
    <t>65e6b178-0389-400f-af97-16dda6780229</t>
  </si>
  <si>
    <t>72333de0-488f-4727-9f94-15c17324ad6c</t>
  </si>
  <si>
    <t>Annalena Hollmann</t>
  </si>
  <si>
    <t>7a38fea4-b59a-406c-935b-6c13b7c9f8ba</t>
  </si>
  <si>
    <t>124e6543-8912-41e3-a79d-ffac7a4d89b7</t>
  </si>
  <si>
    <t>Tim Sanders</t>
  </si>
  <si>
    <t>3075d5c7-1c73-4b20-8191-2168eb39d2da</t>
  </si>
  <si>
    <t>24ebf62f-00ee-4ab3-9526-cc12d0cb9503</t>
  </si>
  <si>
    <t>Casper Skuse</t>
  </si>
  <si>
    <t>e52dd524-3f4f-45b6-8238-1cb8e60aa7a7</t>
  </si>
  <si>
    <t>8f94c42e-0931-4dd8-b0cc-7bb7e16737dd</t>
  </si>
  <si>
    <t>Ella ten Pas</t>
  </si>
  <si>
    <t>b4850a2f-14b8-4467-abe0-4dd929529170</t>
  </si>
  <si>
    <t>8d58f7d2-e1ac-4635-accb-e43840281d34</t>
  </si>
  <si>
    <t>Maximilián Seleš</t>
  </si>
  <si>
    <t>fd797048-0edd-4063-ab7f-1d5c7bda70da</t>
  </si>
  <si>
    <t>a010a3b7-966f-40dc-acde-30bbc2f57cdf</t>
  </si>
  <si>
    <t>mara ciobanu</t>
  </si>
  <si>
    <t>2c96c027-a631-4aed-ad33-71a85edc1106</t>
  </si>
  <si>
    <t>7195e834-6174-46a2-8fd1-69f23ff55243</t>
  </si>
  <si>
    <t>Roan Poldermans</t>
  </si>
  <si>
    <t>242bee45-b89b-450b-bcbe-04f281e462e1</t>
  </si>
  <si>
    <t>818201b8-74bf-4b08-aca3-6cc7b02ed329</t>
  </si>
  <si>
    <t>Mia de Wild</t>
  </si>
  <si>
    <t>1e07a019-d3b5-4f49-bef0-039de5b6c539</t>
  </si>
  <si>
    <t>ec46ee77-bc3c-4890-9c80-5db061751b0f</t>
  </si>
  <si>
    <t>Camilla Farla</t>
  </si>
  <si>
    <t>0ce4b947-adb5-4d38-b483-660d3c6d5428</t>
  </si>
  <si>
    <t>7d329f2b-9da3-4206-8a33-e99c9832b5f5</t>
  </si>
  <si>
    <t>Marta Del Giudice</t>
  </si>
  <si>
    <t>Massimo Del Giudice</t>
  </si>
  <si>
    <t>11d43200-5c7a-4f32-b55b-a9a89f0f3267</t>
  </si>
  <si>
    <t>e7034605-f3b1-48fc-ae3f-3ea7af0af57c</t>
  </si>
  <si>
    <t>Laura Sapet</t>
  </si>
  <si>
    <t>1880ea7a-7190-4e97-ba98-69a9e481d8b3</t>
  </si>
  <si>
    <t>2836bc70-ebb0-4186-aeaf-6bb19ff1f610</t>
  </si>
  <si>
    <t>Maraia Pericleous</t>
  </si>
  <si>
    <t>5d68a137-b692-4356-9a0c-a71f0fa2d385</t>
  </si>
  <si>
    <t>11435613-427c-415c-9f4b-915a3be4d31f</t>
  </si>
  <si>
    <t>Kelly McDermott</t>
  </si>
  <si>
    <t>d465aa5b-5428-4b46-b37d-c85a6ca037eb</t>
  </si>
  <si>
    <t>1444ce2d-a81c-4338-9863-778e911879fe</t>
  </si>
  <si>
    <t>Lisa Fenninger</t>
  </si>
  <si>
    <t>c6ca99f8-b842-4f54-a808-f17669c21122</t>
  </si>
  <si>
    <t>4e3fb6ff-305b-40ab-aff9-977e3f896d02</t>
  </si>
  <si>
    <t>Anais Glauser</t>
  </si>
  <si>
    <t>5d67277f-d6cc-4dc8-8abe-3c6c28e8e8e1</t>
  </si>
  <si>
    <t>75992657-43cc-43a0-a683-f0e8d11c6d0a</t>
  </si>
  <si>
    <t>Linnea Biondi</t>
  </si>
  <si>
    <t>Genoveffa Corbo</t>
  </si>
  <si>
    <t>cc39acfa-d826-4ce9-a2d5-1ac2a2e5a064</t>
  </si>
  <si>
    <t>40835c8a-0fe5-4f52-87cd-630c4a0bc16c</t>
  </si>
  <si>
    <t>Britt Zeegers</t>
  </si>
  <si>
    <t>68beb6db-2644-4fdf-bb52-47b4b2f7aee2</t>
  </si>
  <si>
    <t>9ba956c5-d905-4114-b87b-7db33310e17b</t>
  </si>
  <si>
    <t>Amira Sophie Hertkorn</t>
  </si>
  <si>
    <t>a6f3180c-efdb-4c40-bca3-bcd725dcc665</t>
  </si>
  <si>
    <t>b6dd563f-e467-4af0-a837-729d90975c5b</t>
  </si>
  <si>
    <t>Maria Rosaria Biondi</t>
  </si>
  <si>
    <t>b009e309-8eac-485d-b4b4-19fb21c3de09</t>
  </si>
  <si>
    <t>e8109bf1-925b-4aed-87fe-fa32967d1f22</t>
  </si>
  <si>
    <t>688a1831-c672-410b-9c21-427a56f144e7</t>
  </si>
  <si>
    <t>starla💋 thirkettle</t>
  </si>
  <si>
    <t>1059af59-c31c-4054-bdc5-f73ef2080a5e</t>
  </si>
  <si>
    <t>e4f66633-b689-475a-bcb3-2cfddd7c1439</t>
  </si>
  <si>
    <t>Koen Da silva</t>
  </si>
  <si>
    <t>ff0af947-0a03-4161-8ffc-5b700f2fcf13</t>
  </si>
  <si>
    <t>f97efe56-54ef-4405-9758-8523bebe3157</t>
  </si>
  <si>
    <t>Hilla Amichay</t>
  </si>
  <si>
    <t>12f5eed1-194f-4843-b6aa-c7e2205cbd12</t>
  </si>
  <si>
    <t>9b2ae14b-0ed6-44ef-b5e4-ec571ff9b773</t>
  </si>
  <si>
    <t>Nathan Pasqualini</t>
  </si>
  <si>
    <t>4a0b6951-2943-4ae7-9119-00c5ddb9ee13</t>
  </si>
  <si>
    <t>5de50f22-fd23-430b-964c-fc9a29464ea5</t>
  </si>
  <si>
    <t>Ori Hacmon</t>
  </si>
  <si>
    <t>5d2e40a2-b94e-40a4-9292-12446e165752</t>
  </si>
  <si>
    <t>1b80e7b0-2a0a-49ba-a2a8-af8fe23bebdd</t>
  </si>
  <si>
    <t>Defne Oruk</t>
  </si>
  <si>
    <t>413df8f4-1e7c-47b8-99fb-d7819188867d</t>
  </si>
  <si>
    <t>a7327429-3df4-42d9-9698-4fc4fd58bfc2</t>
  </si>
  <si>
    <t>jana saleh</t>
  </si>
  <si>
    <t>79a96370-4aa2-49be-9e04-62528e3ee59d</t>
  </si>
  <si>
    <t>b2862428-6883-4994-958a-2df29dfd2c54</t>
  </si>
  <si>
    <t>dd712cd3-24cf-4cbf-9e32-7ad57720660f</t>
  </si>
  <si>
    <t>Paula Steffens</t>
  </si>
  <si>
    <t>f830f888-f22c-4198-9816-9b4eff9fc8ba</t>
  </si>
  <si>
    <t>b63e68c8-3d7e-49ff-9194-8af9f41f488c</t>
  </si>
  <si>
    <t>Laura Klingen</t>
  </si>
  <si>
    <t>99ada73e-0363-461a-9123-6e5601fa6dcc</t>
  </si>
  <si>
    <t>f2f06697-1218-4c58-88c4-291de3772991</t>
  </si>
  <si>
    <t>Leyla Teschke-Panah</t>
  </si>
  <si>
    <t>e6d5d58b-7cb8-4466-8020-835ce7d9c103</t>
  </si>
  <si>
    <t>4faa5036-f623-4afd-ad50-13adfb25ce6f</t>
  </si>
  <si>
    <t>Lotte Veranneman</t>
  </si>
  <si>
    <t>e36f31e5-79ec-4ce8-aab1-c13195460b58</t>
  </si>
  <si>
    <t>68d3550b-bf10-4e6c-b206-6429a9015afd</t>
  </si>
  <si>
    <t>Lotta Marie Bader</t>
  </si>
  <si>
    <t>742196bd-4dbb-426d-bd91-c263a0570ed4</t>
  </si>
  <si>
    <t>e2f8091d-0848-47f1-8826-1ade865a751b</t>
  </si>
  <si>
    <t>Amelie Beaudoin-Wilhelm</t>
  </si>
  <si>
    <t>d6ca38a1-8a38-44bc-82fb-432e931f3665</t>
  </si>
  <si>
    <t>449e87ab-fe77-4776-9316-398391bee2c9</t>
  </si>
  <si>
    <t>Kelebek Dönmez</t>
  </si>
  <si>
    <t>cdd0a723-a5d3-4569-938f-d539e89645e1</t>
  </si>
  <si>
    <t>7545e7b5-8bf4-426f-9748-604e3b099062</t>
  </si>
  <si>
    <t>Victor Soelman</t>
  </si>
  <si>
    <t>c85a0c9a-2f06-4eb7-9d77-395b490191bc</t>
  </si>
  <si>
    <t>06948254-7024-4132-82f2-e533a39a5bfa</t>
  </si>
  <si>
    <t>Madeleine Allaart</t>
  </si>
  <si>
    <t>4a7f95d0-efa1-4665-8a36-410d1871fd96</t>
  </si>
  <si>
    <t>6c2b0bd7-66c5-4ad4-8ffb-5a249c4b9b28</t>
  </si>
  <si>
    <t>Helga Gyárfás</t>
  </si>
  <si>
    <t>54d1aeeb-bd20-4e79-9863-7c5954bcdadc</t>
  </si>
  <si>
    <t>103747ba-fe92-4ab2-a10f-0c14d806d51b</t>
  </si>
  <si>
    <t>Najma Hassan</t>
  </si>
  <si>
    <t>6e91939f-ca61-4682-bd63-ddd249c3eb91</t>
  </si>
  <si>
    <t>08f3c38d-157a-488b-a0c5-049983f34664</t>
  </si>
  <si>
    <t>Maja Löschnigg</t>
  </si>
  <si>
    <t>61110983-c241-4d8a-8b55-23876950586f</t>
  </si>
  <si>
    <t>fb109b7f-9a1a-4a43-ad7f-53e4912fb1c5</t>
  </si>
  <si>
    <t>Ynes Marrakchi</t>
  </si>
  <si>
    <t>9c3588ce-bc95-430a-b3d9-68fb86d408b1</t>
  </si>
  <si>
    <t>0755a626-bae8-478f-95f8-d7e101aedeb9</t>
  </si>
  <si>
    <t>Laura Galofre</t>
  </si>
  <si>
    <t>9152ed2d-2905-425d-a4a5-7afc6846e0a5</t>
  </si>
  <si>
    <t>ae51ac2d-531f-4678-8529-f893a324823a</t>
  </si>
  <si>
    <t>Julia Landez</t>
  </si>
  <si>
    <t>f91ac768-9700-494c-aaa6-53ebc024b713</t>
  </si>
  <si>
    <t>e5c661a9-2efe-4f10-ba15-3bab97e122c8</t>
  </si>
  <si>
    <t>Felix Jonker</t>
  </si>
  <si>
    <t>d6a8733c-b175-47d1-85e3-cac858cac052</t>
  </si>
  <si>
    <t>3301b6cd-7fdd-4431-a310-75f619ad260a</t>
  </si>
  <si>
    <t>5304f529-b2b6-4192-8c3e-978e45742235</t>
  </si>
  <si>
    <t>Yasmine Lyon</t>
  </si>
  <si>
    <t>69baaffb-ec01-4146-9504-b19b60f5f07b</t>
  </si>
  <si>
    <t>b91c1f62-2e90-4516-8d12-8ae67353ef1e</t>
  </si>
  <si>
    <t>Denisa-Valentina Sudureac</t>
  </si>
  <si>
    <t>eecb7dab-c12b-42d7-b2ee-689889e786ca</t>
  </si>
  <si>
    <t>9ce57146-13de-4b58-9fec-de394f7c2fe7</t>
  </si>
  <si>
    <t>frida rivas</t>
  </si>
  <si>
    <t>5b9c6fb1-7bcc-452d-9092-d8347ddedfc4</t>
  </si>
  <si>
    <t>1e3411b3-8f53-49e0-b76f-ebc32c91bc7e</t>
  </si>
  <si>
    <t>Rūta Meiere</t>
  </si>
  <si>
    <t>758aa84e-f19a-4723-8c9d-d2650cbc3f44</t>
  </si>
  <si>
    <t>a6dd1c13-ccdd-4be3-963f-664650874cd5</t>
  </si>
  <si>
    <t>Karlijn Rodenburg</t>
  </si>
  <si>
    <t>60c43afb-c2d3-432f-afc8-6b042b006af1</t>
  </si>
  <si>
    <t>0806ee4e-2353-48d2-b32c-1e15d8e50bb1</t>
  </si>
  <si>
    <t>d15a29ee-14a4-43ef-a1f8-f41adf7dc027</t>
  </si>
  <si>
    <t>Nicolai Boss</t>
  </si>
  <si>
    <t>f0fd6d49-b1a5-474c-884a-35929026df7d</t>
  </si>
  <si>
    <t>45db5c67-9ff1-4fcc-ab6d-0d3049e272c5</t>
  </si>
  <si>
    <t>Katharina Wilges</t>
  </si>
  <si>
    <t>ccd3a42b-36a5-440f-8d70-788e39f6b44a</t>
  </si>
  <si>
    <t>f8b9c3b5-fa77-47cd-952a-461ad40056c6</t>
  </si>
  <si>
    <t>Milinka Alika Surya</t>
  </si>
  <si>
    <t>8dad4c71-527a-4a9e-98ed-e1681dadf750</t>
  </si>
  <si>
    <t>f72b3e9f-f6a8-4241-8985-a39437bd725b</t>
  </si>
  <si>
    <t>Jamie Gregoire</t>
  </si>
  <si>
    <t>66f9071f-a52a-4167-8fff-c2ce6c9489bb</t>
  </si>
  <si>
    <t>92dc311f-c8dc-4d89-a39e-5fa2fdf86b35</t>
  </si>
  <si>
    <t>Franziska Rudolph</t>
  </si>
  <si>
    <t>ff966569-5a0e-4053-b15b-e506d3cecbae</t>
  </si>
  <si>
    <t>2bc7a2a6-9f67-4ac5-8e34-ecad2f24e934</t>
  </si>
  <si>
    <t>Adrian Fundneider</t>
  </si>
  <si>
    <t>ADRIAN FUNDNEIDER</t>
  </si>
  <si>
    <t>cc531466-bad0-404f-a2e2-9ddfedacab1a</t>
  </si>
  <si>
    <t>7cf68529-77d9-4d20-8430-796e52f9ce0b</t>
  </si>
  <si>
    <t>Kristin Deknatel</t>
  </si>
  <si>
    <t>f03f9007-cab5-457a-b5d3-7250d5fa7dc4</t>
  </si>
  <si>
    <t>2382bec4-ef93-410c-a195-b268b2781157</t>
  </si>
  <si>
    <t>Elisa Leeuwestein Bruquetas</t>
  </si>
  <si>
    <t>7786d32f-1119-44fd-a4e0-b20eceb34690</t>
  </si>
  <si>
    <t>14bc0572-51b2-43a5-b47b-005c30a71566</t>
  </si>
  <si>
    <t>Flora Gerhardus</t>
  </si>
  <si>
    <t>2d3c9565-7434-43bd-aed5-a8e3ad05fd28</t>
  </si>
  <si>
    <t>37a24118-b5b8-469d-9ec7-b6e870d8cba0</t>
  </si>
  <si>
    <t>Sofia Fagiani</t>
  </si>
  <si>
    <t xml:space="preserve">Sofia Fagiani </t>
  </si>
  <si>
    <t>0b157bdb-6cc3-4221-92a9-56634a0c3e1e</t>
  </si>
  <si>
    <t>502983cb-5ebc-4579-8aa6-b7470def2b43</t>
  </si>
  <si>
    <t>Emilia Emir</t>
  </si>
  <si>
    <t>f6a42047-7b73-412d-a829-1b95283af4fe</t>
  </si>
  <si>
    <t>a5b10375-fee5-43e9-9bbc-c4f2854d18a6</t>
  </si>
  <si>
    <t>lucas schlenker</t>
  </si>
  <si>
    <t>605d8cd0-fcb0-49de-a80b-ddc090b84cf1</t>
  </si>
  <si>
    <t>de8ffde7-bad7-495a-a854-13a82603dfc6</t>
  </si>
  <si>
    <t>Gabriel Murphy</t>
  </si>
  <si>
    <t>912e2516-9f04-43eb-bcf9-851dc39bda05</t>
  </si>
  <si>
    <t>a373953c-037a-4a67-9c57-c9ee54ed6983</t>
  </si>
  <si>
    <t>Beatrice Raetsch</t>
  </si>
  <si>
    <t>36e42695-53ca-4eaf-8cb2-8ef53054c692</t>
  </si>
  <si>
    <t>c0e29c51-0221-44b6-bdfd-1279adb88c09</t>
  </si>
  <si>
    <t>Catharina Ambacher</t>
  </si>
  <si>
    <t>68d6aabc-0404-4609-a4a5-0b3679f42b4e</t>
  </si>
  <si>
    <t>f6fd5edf-f951-4edb-a0c1-4b4a55484573</t>
  </si>
  <si>
    <t>Halszka Frydrychowicz</t>
  </si>
  <si>
    <t>27e6c05d-d56d-45fb-b52f-b5790277347a</t>
  </si>
  <si>
    <t>552742b2-b110-4def-a856-a9c4fcf17fa5</t>
  </si>
  <si>
    <t>f7f4d545-ec93-4e6a-9a25-05ab49a7bb0a</t>
  </si>
  <si>
    <t>Ann-Sophie Meijerink</t>
  </si>
  <si>
    <t>0dd0fdf1-a771-4e42-976a-08427baa2d15</t>
  </si>
  <si>
    <t>0ff723a4-82fc-4ca3-b9c4-be64f73933c3</t>
  </si>
  <si>
    <t>Miguel José Mollá</t>
  </si>
  <si>
    <t>Miguel José Mollá García</t>
  </si>
  <si>
    <t>0a28f30b-6b33-4f9c-be51-813f0d04ae03</t>
  </si>
  <si>
    <t>1c059f24-d5c7-4a2c-9107-7dc1f59b4416</t>
  </si>
  <si>
    <t>Yannick Djebali</t>
  </si>
  <si>
    <t>3218ef79-d6d3-4397-a288-eb8c81f4929f</t>
  </si>
  <si>
    <t>b48a425a-3c60-43fa-8d85-c2b0dfeee94b</t>
  </si>
  <si>
    <t>Grace Anhalt</t>
  </si>
  <si>
    <t>10c6b527-a9ed-4ce7-b024-92e809c81f2c</t>
  </si>
  <si>
    <t>d4c1e963-784e-4d1b-b90c-907e8eb86624</t>
  </si>
  <si>
    <t>Jehan Bascher</t>
  </si>
  <si>
    <t>5c9f58f3-3fb8-4b6b-acc5-0ffcb2ad903c</t>
  </si>
  <si>
    <t>10869ee9-87cf-4883-83a7-d1cc0eb1559c</t>
  </si>
  <si>
    <t>€18.46</t>
  </si>
  <si>
    <t>€1.21</t>
  </si>
  <si>
    <t>€17.25</t>
  </si>
  <si>
    <t>25b70727-5023-4c9d-b547-743a79cd17dc</t>
  </si>
  <si>
    <t>1b0d726b-7b00-4f08-929a-918c7d22d807</t>
  </si>
  <si>
    <t>Mia Mirell Suursalu</t>
  </si>
  <si>
    <t>8a6aec28-7b66-4d95-997a-e9cb7f8e742d</t>
  </si>
  <si>
    <t>4e3c586d-c071-4872-8bf0-6be76b711caa</t>
  </si>
  <si>
    <t>Phine Kleinjan</t>
  </si>
  <si>
    <t>b3abdb19-b4fc-4602-aa9e-1e194c2eb6e1</t>
  </si>
  <si>
    <t>f9501605-c1d0-4ac7-ad71-893f66af8f0e</t>
  </si>
  <si>
    <t>Gili Zelcer</t>
  </si>
  <si>
    <t>1410e387-bfe9-4150-a578-fb6ff8b67777</t>
  </si>
  <si>
    <t>3ff7c3a1-f95a-450f-bf58-269746d5a300</t>
  </si>
  <si>
    <t>Lieke Laan</t>
  </si>
  <si>
    <t>be7f5e99-4e44-4e21-a6c5-3a27b0bff86f</t>
  </si>
  <si>
    <t>9969e1a2-67fe-44ac-a74c-f1be6379ba6b</t>
  </si>
  <si>
    <t>Renske Snip</t>
  </si>
  <si>
    <t>d683dc86-8800-43e5-a454-0dddea1d39b8</t>
  </si>
  <si>
    <t>18137708-0391-49db-a243-edd5d75d2cca</t>
  </si>
  <si>
    <t>Marie Wilcke</t>
  </si>
  <si>
    <t>d7e84c15-d7c4-489e-9c40-e6900c972e1a</t>
  </si>
  <si>
    <t>99d9ceea-feb8-48a5-895f-f58a849997d6</t>
  </si>
  <si>
    <t>luisa gross</t>
  </si>
  <si>
    <t>eb4db8bd-43cc-4bf7-b464-faf6a24a729f</t>
  </si>
  <si>
    <t>20e95d11-fc53-48d9-89f2-9e20e748238f</t>
  </si>
  <si>
    <t>Magdalena Wolf</t>
  </si>
  <si>
    <t>7ec8075d-960f-4118-a8b7-7aca272df518</t>
  </si>
  <si>
    <t>ca812306-e329-4593-b85b-c3ddd12fe62d</t>
  </si>
  <si>
    <t>Hugo van der Wal Edgcomb</t>
  </si>
  <si>
    <t>d8f2c28c-ba19-487e-ae6c-76983263f7ab</t>
  </si>
  <si>
    <t>a0ac3679-cabb-4368-8be6-48d9ca068a09</t>
  </si>
  <si>
    <t>Bernardo Berneck Malucelli</t>
  </si>
  <si>
    <t>ec1ce48c-86cc-485a-b559-fcf1a8d0ebbf</t>
  </si>
  <si>
    <t>85c59977-0669-4eef-abc5-b9e2130e4395</t>
  </si>
  <si>
    <t>Sonia Tarpan</t>
  </si>
  <si>
    <t>9a8e513d-9fe5-4b7d-b49c-d3832633d568</t>
  </si>
  <si>
    <t>df5bdcbc-2a67-49ac-a42c-790543b71f7b</t>
  </si>
  <si>
    <t>Mimi Goudsmit</t>
  </si>
  <si>
    <t>8246b4a7-1cfc-4c84-949d-1e6a9ab6e7bf</t>
  </si>
  <si>
    <t>4a9a1822-cb3a-40d4-9434-7184ef964609</t>
  </si>
  <si>
    <t>Shanelle Boelbaai</t>
  </si>
  <si>
    <t>3d0828fc-b388-4826-8421-e3c56c0d8091</t>
  </si>
  <si>
    <t>f1cf4137-e0ab-4b60-b03e-62824e0eb4a1</t>
  </si>
  <si>
    <t>Katarína Janšová</t>
  </si>
  <si>
    <t>76991e5d-740d-4f15-af87-750a92069106</t>
  </si>
  <si>
    <t>5fa96649-3328-4948-a10c-7fe5f2d3273f</t>
  </si>
  <si>
    <t>Tiffanie Smail</t>
  </si>
  <si>
    <t>2ac8af57-3dce-4f02-b692-603a3cd28ce2</t>
  </si>
  <si>
    <t>39eb763d-509e-4b69-b0ee-ced4c0e2ab4d</t>
  </si>
  <si>
    <t>Liora Schubert</t>
  </si>
  <si>
    <t>1efa191f-ab2b-4b40-b53a-4dda815df461</t>
  </si>
  <si>
    <t>6509c5d3-8e10-40f8-8b47-39ea04975c95</t>
  </si>
  <si>
    <t>Jonathan Hendriks</t>
  </si>
  <si>
    <t>79072403-6427-4136-9f83-d92869bc2e42</t>
  </si>
  <si>
    <t>90aa2322-25cf-416a-bb5a-ed74517698f6</t>
  </si>
  <si>
    <t>Aina-Lucia Roda Stucke</t>
  </si>
  <si>
    <t>Wolfhard Stucke genannt Meinert</t>
  </si>
  <si>
    <t>007bc66b-a180-4767-aa95-fbd7e461615f</t>
  </si>
  <si>
    <t>35096c15-9586-4100-b922-6d4c5e848bcf</t>
  </si>
  <si>
    <t>Elisa Hasper</t>
  </si>
  <si>
    <t>fe66f325-dbf1-41f6-9a24-6322db96b515</t>
  </si>
  <si>
    <t>313a0724-3e75-43b9-acc3-26b0f26fa5a9</t>
  </si>
  <si>
    <t>Paula Zetsche</t>
  </si>
  <si>
    <t>Paula Marie Zetsche</t>
  </si>
  <si>
    <t>4ce38a1c-0a50-4671-8055-7330bda66804</t>
  </si>
  <si>
    <t>d0e521b0-08c6-4c95-8c07-ad1886aa2a02</t>
  </si>
  <si>
    <t>Cecilia Tang</t>
  </si>
  <si>
    <t>e59c985b-53fa-46c6-9335-7bc75505e66e</t>
  </si>
  <si>
    <t>a6d97fa9-293b-4c2f-870a-354101e11674</t>
  </si>
  <si>
    <t>Estere Balode</t>
  </si>
  <si>
    <t>Estere Marta Balode</t>
  </si>
  <si>
    <t>559d98b5-59ea-4d07-bbd2-034baf3a7e85</t>
  </si>
  <si>
    <t>6467c717-68f0-46af-b574-0f36d469ab3d</t>
  </si>
  <si>
    <t>Cato van Zijl</t>
  </si>
  <si>
    <t>9402dd41-4340-4b95-8e4a-16d5e1163761</t>
  </si>
  <si>
    <t>b49dbeb0-5619-471f-b176-0d8c3af14859</t>
  </si>
  <si>
    <t>Colette SIEGEL</t>
  </si>
  <si>
    <t>5948d1f4-ee8c-4609-b684-5729931b3395</t>
  </si>
  <si>
    <t>bd3da808-3039-4abc-b78e-2f541e5156bd</t>
  </si>
  <si>
    <t>Elli McDonnell</t>
  </si>
  <si>
    <t>7bea3eb2-9af9-4dff-9cbf-db986a555755</t>
  </si>
  <si>
    <t>5388a102-d3c8-44e2-a437-6098900f6a0d</t>
  </si>
  <si>
    <t>Julius Heremans</t>
  </si>
  <si>
    <t>91d3ce31-fb45-4636-b0f6-6b3b081238ef</t>
  </si>
  <si>
    <t>b0daa495-92ae-4718-84d8-d911e39113a4</t>
  </si>
  <si>
    <t>Michal Gradon</t>
  </si>
  <si>
    <t>4ba9d7dd-38a7-40e2-9f09-fa42fbbabc55</t>
  </si>
  <si>
    <t>a20b79f2-844a-48ce-8733-7e0b00aabdd4</t>
  </si>
  <si>
    <t>2f79e421-75e0-4c6f-8514-88fd967d55c6</t>
  </si>
  <si>
    <t>9a15907b-a62e-4f37-9f0c-591d8e1b7392</t>
  </si>
  <si>
    <t>Clarisse Voute</t>
  </si>
  <si>
    <t>481259b0-76d6-4fae-9886-4a00dc63f0c5</t>
  </si>
  <si>
    <t>d5974d9d-4501-4000-8c23-965aa33f02da</t>
  </si>
  <si>
    <t>Antoni Narożny</t>
  </si>
  <si>
    <t>ce20c8aa-e1d2-45f2-b7e0-7b4512d202aa</t>
  </si>
  <si>
    <t>57493cc1-6e37-4e99-9ee0-f2e820ecac6f</t>
  </si>
  <si>
    <t>diana kniazeva</t>
  </si>
  <si>
    <t>DIANA KNIAZEVA</t>
  </si>
  <si>
    <t>ef5aab84-cca1-4453-b16d-035be3bf7849</t>
  </si>
  <si>
    <t>24472b93-cff1-4089-9669-6b818a10bf4b</t>
  </si>
  <si>
    <t>Sophie Lavooij</t>
  </si>
  <si>
    <t>250c252b-964b-4a0d-a703-c3fbbe9add49</t>
  </si>
  <si>
    <t>356e2612-9ffd-4605-8ac1-1679762b4fe9</t>
  </si>
  <si>
    <t>Sara Tomeska</t>
  </si>
  <si>
    <t>001205f1-9794-4717-b0d0-c459e57cce00</t>
  </si>
  <si>
    <t>6e6894ae-5025-4490-bdba-c3d8e3f7513a</t>
  </si>
  <si>
    <t>Sam Gennaro</t>
  </si>
  <si>
    <t>d53b3b96-f4d6-4a15-9d8b-26d6dfebccdc</t>
  </si>
  <si>
    <t>3808abc7-433b-456a-899c-86244168d44e</t>
  </si>
  <si>
    <t>Nina Serafin</t>
  </si>
  <si>
    <t>ee58b9a4-3fe3-4bf4-93fa-16b7bc10c532</t>
  </si>
  <si>
    <t>855991bf-11bc-4585-a233-5b544f5bfd31</t>
  </si>
  <si>
    <t>Lea Petric</t>
  </si>
  <si>
    <t>cc1b8b47-4828-4976-88b2-1f61fbecc8be</t>
  </si>
  <si>
    <t>94a8f2bc-8f5c-416c-88c2-0e8e59186a3c</t>
  </si>
  <si>
    <t>Nila Zamzow</t>
  </si>
  <si>
    <t>1125b3bf-e6d3-4919-a8f3-84895d379516</t>
  </si>
  <si>
    <t>e150d8c4-6ff5-4094-ad86-6d2b31b2554b</t>
  </si>
  <si>
    <t>Clara Seyfert</t>
  </si>
  <si>
    <t>6ccd064e-14d2-4d07-a2c9-c8fd9e677db4</t>
  </si>
  <si>
    <t>16730101-0192-4181-ace2-2a670604d06b</t>
  </si>
  <si>
    <t>Alice Mastná</t>
  </si>
  <si>
    <t>22f8fc78-0167-420b-864b-38fd8b91abda</t>
  </si>
  <si>
    <t>fe675321-9669-48cd-bac0-f8dc4e31bb69</t>
  </si>
  <si>
    <t>Simon Omaník</t>
  </si>
  <si>
    <t>301c12c0-1022-4a91-807b-a477dc91ad75</t>
  </si>
  <si>
    <t>cd268c05-5132-4ebf-8011-843c3550da92</t>
  </si>
  <si>
    <t>da9b7dc4-c65e-4b9a-a825-70df02fab427</t>
  </si>
  <si>
    <t>Tommaso Reali</t>
  </si>
  <si>
    <t>572d139c-95c3-4221-b540-c4fbea040a5f</t>
  </si>
  <si>
    <t>0e09022d-6cff-4243-8224-ef2e0c5703b5</t>
  </si>
  <si>
    <t>Anton Vollmer</t>
  </si>
  <si>
    <t>b335c4c0-ed38-489b-aada-3a22996aa8f3</t>
  </si>
  <si>
    <t>a6cefcb4-8e29-4d11-be23-3e89916fb8e7</t>
  </si>
  <si>
    <t>Hana Leben</t>
  </si>
  <si>
    <t>353af0a1-9c39-4f3f-9726-8fbaa7f290f0</t>
  </si>
  <si>
    <t>2469ce48-facd-4c28-8747-2657e39343b2</t>
  </si>
  <si>
    <t>Anna Boysen</t>
  </si>
  <si>
    <t>fc9885c0-2eb5-4554-ac79-e009442479c5</t>
  </si>
  <si>
    <t>3b71eed1-d3dc-4f21-8f3a-bb408bff6b8a</t>
  </si>
  <si>
    <t>Bennett Pickhardt</t>
  </si>
  <si>
    <t>647bbe03-fa04-4d76-b834-baa8169b1a72</t>
  </si>
  <si>
    <t>4467cd0e-6679-4661-bb8f-e5e9e9e107f1</t>
  </si>
  <si>
    <t>Beniamin Mlodzianowski</t>
  </si>
  <si>
    <t>abf6174d-9f8a-467b-beb3-37ddc867a23d</t>
  </si>
  <si>
    <t>b9abe620-fc95-41d4-9e47-68bfcacc0aba</t>
  </si>
  <si>
    <t>Emma Reali</t>
  </si>
  <si>
    <t>03d3a13d-f697-48f6-962f-60a0c6a9ade2</t>
  </si>
  <si>
    <t>ae23f9ce-1539-479a-a1be-222e846757f6</t>
  </si>
  <si>
    <t>Emily Pereira</t>
  </si>
  <si>
    <t>02851d21-e8c6-44bb-8f56-d31f1fe8b51a</t>
  </si>
  <si>
    <t>52319065-aa4f-4f55-837a-76cf5cc7bb1c</t>
  </si>
  <si>
    <t>Irina Kovacheva</t>
  </si>
  <si>
    <t>96c2ed64-748f-477d-b8cf-33fdcd0a7884</t>
  </si>
  <si>
    <t>a151cd25-0b5e-4c22-9417-efcbe60b81df</t>
  </si>
  <si>
    <t>Krzysztof Majcher</t>
  </si>
  <si>
    <t>KRZYSZTOF MAJCHER</t>
  </si>
  <si>
    <t>9248d530-f21b-44bf-90da-f0b63d24b19b</t>
  </si>
  <si>
    <t>ae69d679-f290-47cd-960f-2b496084ba7a</t>
  </si>
  <si>
    <t>Ahan Sinha</t>
  </si>
  <si>
    <t>b0e8459f-e2cf-4c66-95c1-004cebcf928f</t>
  </si>
  <si>
    <t>6e17e8c9-3c2e-4c8d-8c4b-72d48fc542c1</t>
  </si>
  <si>
    <t>Flora Lea Takacs</t>
  </si>
  <si>
    <t>d5af4a21-a43e-48e7-9a34-8305e8b51e5a</t>
  </si>
  <si>
    <t>39a9a069-7eff-4572-9074-f2c2cfc04054</t>
  </si>
  <si>
    <t>Márton Molnár</t>
  </si>
  <si>
    <t>bfa2ab62-faf0-43f7-b3c4-a5737a0785a0</t>
  </si>
  <si>
    <t>3866e745-e5b7-4e5d-997d-c58a3d8afecb</t>
  </si>
  <si>
    <t>Liam Molenaar</t>
  </si>
  <si>
    <t>63875641-c8ad-40a1-8ba6-f4e904cc15b5</t>
  </si>
  <si>
    <t>8b301bb3-d223-4a4b-aee8-ad318c79a075</t>
  </si>
  <si>
    <t>Franz Kroymann</t>
  </si>
  <si>
    <t>e7940737-fc02-445a-a439-6c9c2c04be0d</t>
  </si>
  <si>
    <t>087dadce-9670-45fc-915d-3158196268b5</t>
  </si>
  <si>
    <t>Matías Bentinck</t>
  </si>
  <si>
    <t>bcdf228b-4a09-4107-8966-718543c772a5</t>
  </si>
  <si>
    <t>53f084a1-636c-4ce5-a8d3-7c78bc53befe</t>
  </si>
  <si>
    <t>e48c2866-437d-4784-bd5a-b1f310b793db</t>
  </si>
  <si>
    <t>Brent Panka</t>
  </si>
  <si>
    <t>BBR PANKA</t>
  </si>
  <si>
    <t>€1.10</t>
  </si>
  <si>
    <t>€17.36</t>
  </si>
  <si>
    <t>39bdf027-c2d2-458e-88a6-c4873479fe7f</t>
  </si>
  <si>
    <t>ab380292-030f-4335-9af5-953ad4536806</t>
  </si>
  <si>
    <t>Olaf Scheepers</t>
  </si>
  <si>
    <t>NL08ASNB0706948270</t>
  </si>
  <si>
    <t>Name: Olaf Scheepers Description: BE - Association Meeting - SES dinner IBAN: NL08ASNB0706948270 Value date: 14/11/2025</t>
  </si>
  <si>
    <t>Laura Gonzalez Osterbaum</t>
  </si>
  <si>
    <t>DE77503201910031838258</t>
  </si>
  <si>
    <t>Name: Laura Gonzalez Osterbaum Description: ART - Movie Night - Snacks/Drinks IBAN: DE77503201910031838258 Value date: 14/11/2025</t>
  </si>
  <si>
    <t>B V Crea Cafe</t>
  </si>
  <si>
    <t>NL30INGB0002562608</t>
  </si>
  <si>
    <t>Name: B V Crea Cafe Description: BE - Committee Appreciation - Beer pong drinks IBAN: NL30INGB0002562608 Value date: 14/11/2025</t>
  </si>
  <si>
    <t>Name: B V Crea Cafe Description: BE - GA Borrel IBAN: NL30INGB0002562608 Value date: 14/11/2025</t>
  </si>
  <si>
    <t>Leandro Meier</t>
  </si>
  <si>
    <t>NL73ABNA0137029012</t>
  </si>
  <si>
    <t>Name: Leandro Meier Description: BE - GA - Pizza and Drinks IBAN: NL73ABNA0137029012 Value date: 14/11/2025</t>
  </si>
  <si>
    <t>Anna Risau</t>
  </si>
  <si>
    <t>NL03INGB0113544480</t>
  </si>
  <si>
    <t>Name: Anna Risau Description: PT - Halloween - Decorations IBAN: NL03INGB0113544480 Value date: 14/11/2025</t>
  </si>
  <si>
    <t>De Heeren van Aemstel</t>
  </si>
  <si>
    <t>NL80ABNA0601179803</t>
  </si>
  <si>
    <t>Name: De Heeren van Aemstel Description: PT - Halloween 2025 - All drinks IBAN: NL80ABNA0601179803 Value date: 14/11/2025</t>
  </si>
  <si>
    <t>Mara Ciobanu</t>
  </si>
  <si>
    <t>RO78REVO0000198589965987</t>
  </si>
  <si>
    <t>Name: Mara Ciobanu Description: PT - Transition 2025 - Refund IBAN: RO78REVO0000198589965987 Value date: 14/11/2025</t>
  </si>
  <si>
    <t>Julia Sanchez Pedraza</t>
  </si>
  <si>
    <t>ES8701820683200201731441</t>
  </si>
  <si>
    <t>Name: Julia Sanchez Pedraza Description: PT - Transition Party - Decorations IBAN: ES8701820683200201731441 Value date: 14/11/2025</t>
  </si>
  <si>
    <t>Name: Stripe Technology Europe Ltd Description: Study Association Z3Q5O3 IBAN: DK8789000000014387 Value date: 14/11/2025</t>
  </si>
  <si>
    <t>Moneybird B.V.</t>
  </si>
  <si>
    <t>NL65ADYB2006011162</t>
  </si>
  <si>
    <t>Name: Moneybird B.V. Description: Moneybird B.V. 2025-812352 MoneyBird B.V. IBAN: NL65ADYB2006011162 Reference: HNMLL9WG35GJGPG3 Mandate ID: RNVFDS4VN4LKTTX3 Creditor ID: NL48ZZZ342764500000 Recurrent SEPA direct debit Value date: 13/11/2025</t>
  </si>
  <si>
    <t>PT_TransitionRefund</t>
  </si>
  <si>
    <t>ART_MovieNight</t>
  </si>
  <si>
    <t>PT_Transition_Venue</t>
  </si>
  <si>
    <t>PT_TransitionDecorations</t>
  </si>
  <si>
    <t>Alessandro Riccio</t>
  </si>
  <si>
    <t>€4.12</t>
  </si>
  <si>
    <t>€0.50</t>
  </si>
  <si>
    <t>€3.62</t>
  </si>
  <si>
    <t>8a4dbef1-3ada-4177-8883-c445250091f0</t>
  </si>
  <si>
    <t>18d21cec-48d8-424e-ad17-90d6cdc400d1</t>
  </si>
  <si>
    <t>62f9ed0d-3780-412d-a15b-4526578aaa95</t>
  </si>
  <si>
    <t>Urtė Urbonavičiūtė</t>
  </si>
  <si>
    <t>afb3cf7d-1bef-4cd4-99f5-950c22c994b0</t>
  </si>
  <si>
    <t>12899864-07da-4f4d-b3d6-88afe7de1abe</t>
  </si>
  <si>
    <t>Stefan Chiriacopol</t>
  </si>
  <si>
    <t>c72f4a79-e564-4350-94f3-5f40944e9016</t>
  </si>
  <si>
    <t>5ab843f6-07ac-450c-9b2d-a9589db839e6</t>
  </si>
  <si>
    <t>b6c6240b-18e2-46f2-adbd-20c8be483832</t>
  </si>
  <si>
    <t>988a39f6-dd27-460b-b23e-2572198b19d7</t>
  </si>
  <si>
    <t>€6.15</t>
  </si>
  <si>
    <t>€0.56</t>
  </si>
  <si>
    <t>€5.59</t>
  </si>
  <si>
    <t>896990a3-0264-43c9-9ee0-56a6b0d14f70</t>
  </si>
  <si>
    <t>8b09462b-9f3c-4fe1-9bb1-a69f93ed78ab</t>
  </si>
  <si>
    <t>€0.48</t>
  </si>
  <si>
    <t>€3.64</t>
  </si>
  <si>
    <t>582e743c-c005-4fa2-9812-61e189f563db</t>
  </si>
  <si>
    <t>e5308247-c7e1-4a09-9bd0-ce0d6d0e5bdd</t>
  </si>
  <si>
    <t>ddeab063-0941-442e-bd72-d1d1a856e3b0</t>
  </si>
  <si>
    <t>3ceace85-f379-4aa4-9de1-996fce727681</t>
  </si>
  <si>
    <t>6abbbd33-14e0-4375-9a8a-8260af248839</t>
  </si>
  <si>
    <t>8c07a306-3a6e-4a51-8c61-f6a29eb334d0</t>
  </si>
  <si>
    <t>b5beb9ac-4209-4864-b969-c1c5fec6e3af</t>
  </si>
  <si>
    <t>b44ab708-aaee-4ee6-a4f3-aa5407132f32</t>
  </si>
  <si>
    <t>4d369d06-fbc7-4e90-8977-4d49df21078e</t>
  </si>
  <si>
    <t>e571954d-2beb-4373-9e2f-52b7dfed7220</t>
  </si>
  <si>
    <t>de57396e-eeed-4962-90dc-3782542d0976</t>
  </si>
  <si>
    <t>4f6c1c48-c641-4e0e-a402-eb506fd63b83</t>
  </si>
  <si>
    <t>Celia Martino</t>
  </si>
  <si>
    <t>c11b8110-3dcd-43b2-8a35-7d69277e5812</t>
  </si>
  <si>
    <t>f514fac6-df6e-49cf-a82a-de75cf8bd4db</t>
  </si>
  <si>
    <t>Ash Siddiqui</t>
  </si>
  <si>
    <t>4d04ecad-d385-453d-af85-602af6c8ac31</t>
  </si>
  <si>
    <t>6b8bbd92-ae8f-4234-ad99-d8531cb823bf</t>
  </si>
  <si>
    <t>b41b9502-382d-4aa8-ac33-3d1d94b4ef64</t>
  </si>
  <si>
    <t>0949cfac-52d1-4ded-98c6-1927c8f5c8ec</t>
  </si>
  <si>
    <t>ebeb456e-95f0-493e-ba9c-e2cfa4d20f2c</t>
  </si>
  <si>
    <t>72af9b99-b9a4-41e3-ad3b-b0afb038ad21</t>
  </si>
  <si>
    <t>Marta Colafrancesco</t>
  </si>
  <si>
    <t>d4c62342-ffd7-4020-9f4a-d3c00cfd8e20</t>
  </si>
  <si>
    <t>4d50fe5c-9fed-4418-ba8a-95d269996adc</t>
  </si>
  <si>
    <t>Siiri Andersson</t>
  </si>
  <si>
    <t>8014a36d-807a-4020-9d88-20b19dec6b62</t>
  </si>
  <si>
    <t>2d55b7c2-46d0-4590-9d45-4a6cd5fb5043</t>
  </si>
  <si>
    <t>Amelie Knothe</t>
  </si>
  <si>
    <t>dcf2d66d-1fa5-489b-bd23-c31233e43643</t>
  </si>
  <si>
    <t>e24f9464-2c66-4f7b-ae28-a4159145f0e6</t>
  </si>
  <si>
    <t>5947b597-2d54-498b-a308-b6681a6c2265</t>
  </si>
  <si>
    <t>5c22c3e7-fa25-494f-aebe-f5116abe0c53</t>
  </si>
  <si>
    <t>d57fe0b0-df78-48dd-bab3-95bf07e668e0</t>
  </si>
  <si>
    <t>dad75b08-551d-419c-88fe-17a2e5fb080e</t>
  </si>
  <si>
    <t>c0a0864f-5e85-4d1f-af58-695ff46dc857</t>
  </si>
  <si>
    <t>cd4ca076-fb08-4397-8bcd-001a689d1636</t>
  </si>
  <si>
    <t>b23a7991-f2d2-4749-94c1-67a800b9a71e</t>
  </si>
  <si>
    <t>ac5a77b8-1fee-415c-aeba-7f2e3f6a3d14</t>
  </si>
  <si>
    <t>Estrid Walker</t>
  </si>
  <si>
    <t>379e9821-95df-4ded-9ca8-411ca694ecbe</t>
  </si>
  <si>
    <t>9420036f-5552-431f-a18f-ce12209e829c</t>
  </si>
  <si>
    <t>PT_WorldBorrel_Member</t>
  </si>
  <si>
    <t>PT_WorldBorrel_NonMember</t>
  </si>
  <si>
    <t>BE_AssociationMeetings</t>
  </si>
  <si>
    <t>Factuurnr. 2358762243 Betreft IBAN: NL51INGB0006734394 Periode: 01-11-2025 / 30-11-2025 Value date: 27/12/2025</t>
  </si>
  <si>
    <t>Name: TransIP B.V. Description: FACTUUR F0000.2512.0011.5786 IBAN: NL85INGB0654416265 Reference: E2E-ID-NL-231602404 Mandate ID: MANDATE-NL-200315305-1 Creditor ID: NL39ZZZ243458990000 Recurrent SEPA direct debit Value date: 22/12/2025</t>
  </si>
  <si>
    <t>Name: Machiavelli Description: 20251203 Drinks for Pub Quiz Hard Rock Cafe SAC IBAN: NL08INGB0004851137 Date/time: 15-12-2025 18:07:02 Value date: 15/12/2025</t>
  </si>
  <si>
    <t>Name: Moneybird B.V. Description: Moneybird B.V. 2025-893739 MoneyBird B.V. IBAN: NL65ADYB2006011162 Reference: GX8C3JJVL6QVV3G6 Mandate ID: RNVFDS4VN4LKTTX3 Creditor ID: NL48ZZZ342764500000 Recurrent SEPA direct debit Value date: 15/12/2025</t>
  </si>
  <si>
    <t>Name: Stripe Technology Europe Ltd Description: Wix Payments Z2D2B9 IBAN: DK8789000000014387 Value date: 12/12/2025</t>
  </si>
  <si>
    <t>Study Association Bloom</t>
  </si>
  <si>
    <t>NL55RABO0367497727</t>
  </si>
  <si>
    <t>Name: Study Association Bloom Description: Pub Quiz Costs IBAN: NL55RABO0367497727 Date/time: 12-12-2025 03:52:51 Value date: 12/12/2025</t>
  </si>
  <si>
    <t>KALLIOPPE</t>
  </si>
  <si>
    <t>NL51ABNA0211182222</t>
  </si>
  <si>
    <t>Name: KALLIOPPE Description: KallioPPE Invoice Payment - around-the-world-borrel IBAN: NL51ABNA0211182222 Date/time: 11-12-2025 13:59:03 Value date: 11/12/2025</t>
  </si>
  <si>
    <t>Name: Stripe Technology Europe Ltd Description: Wix Payments C2B1S4 IBAN: DK8789000000014387 Value date: 11/12/2025</t>
  </si>
  <si>
    <t>Name: Stripe Technology Europe Ltd Description: Wix Payments N7M9J9 IBAN: DK8789000000014387 Value date: 10/12/2025</t>
  </si>
  <si>
    <t>Name: Stripe Technology Europe Ltd Description: Wix Payments F7Q9O1 IBAN: DK8789000000014387 Value date: 09/12/2025</t>
  </si>
  <si>
    <t>Studievereniging Mercurius</t>
  </si>
  <si>
    <t>NL73RABO0393851818</t>
  </si>
  <si>
    <t>Name: Studievereniging Mercurius Description: Drinks for Pub Quiz at Hard Rock Cafe IBAN: NL73RABO0393851818 Date/time: 09-12-2025 09:50:27 Value date: 09/12/2025</t>
  </si>
  <si>
    <t>Sec Sociologisch Epicentrum</t>
  </si>
  <si>
    <t>NL35INGB0006261128</t>
  </si>
  <si>
    <t>Name: Sec Sociologisch Epicentrum Description: Sec Drinks for Pub Quiz at Hard Rock Cafe IBAN: NL35INGB0006261128 Reference: Sec Contribution pubquiz Date/time: 08-12-2025 16:15:31 Value date: 08/12/2025</t>
  </si>
  <si>
    <t>Name: Stripe Technology Europe Ltd Description: Wix Payments W9Z0Z8 IBAN: DK8789000000014387 Value date: 08/12/2025</t>
  </si>
  <si>
    <t xml:space="preserve">Hof De Peul B V </t>
  </si>
  <si>
    <t>NL95ABNA0443882975</t>
  </si>
  <si>
    <t>Name: Hof De Peul B V Description: TYW - Location deposit IBAN: NL95ABNA0443882975 Value date: 08/12/2025</t>
  </si>
  <si>
    <t>Name: Olaf Scheepers Description: BG - First AID - Olaf IBAN: NL08ASNB0706948270 Value date: 08/12/2025</t>
  </si>
  <si>
    <t xml:space="preserve">Tosti Bar B V </t>
  </si>
  <si>
    <t>NL70INGB0106641433</t>
  </si>
  <si>
    <t>Name: Tosti Bar B V Description: PT - Around the World Borrel - Tokens IBAN: NL70INGB0106641433 Value date: 08/12/2025</t>
  </si>
  <si>
    <t>Name: TransIP B.V. Description: FACTUUR F0000.2512.0003.4247 IBAN: NL85INGB0654416265 Reference: E2E-ID-NL-231357733 Mandate ID: MANDATE-NL-200315305-1 Creditor ID: NL39ZZZ243458990000 Recurrent SEPA direct debit Value date: 08/12/2025</t>
  </si>
  <si>
    <t>Name: Stripe Technology Europe Ltd Description: Wix Payments E5O1Z9 IBAN: DK8789000000014387 Value date: 28/01/2026</t>
  </si>
  <si>
    <t>Name: Stripe Technology Europe Ltd Description: Wix Payments M1X7J6 IBAN: DK8789000000014387 Value date: 27/01/2026</t>
  </si>
  <si>
    <t>Name: Stripe Technology Europe Ltd Description: Wix Payments I6T3S7 IBAN: DK8789000000014387 Value date: 26/01/2026</t>
  </si>
  <si>
    <t>Factuurnr. 2367695810 Betreft IBAN: NL51INGB0006734394 Periode: 01-12-2025 / 31-12-2025 Value date: 26/01/2026</t>
  </si>
  <si>
    <t>Sara Juklova</t>
  </si>
  <si>
    <t>BE36967757639781</t>
  </si>
  <si>
    <t>Name: Sara Juklova Description: BG - Unforseen - Futurist Law Lab IBAN: BE36967757639781 Value date: 23/01/2026</t>
  </si>
  <si>
    <t>LT113250012791633244</t>
  </si>
  <si>
    <t>Name: Luka Traveller Description: SP - Yoga - Venue IBAN: LT113250012791633244 Value date: 23/01/2026</t>
  </si>
  <si>
    <t>Potator BV</t>
  </si>
  <si>
    <t>NL65ABNA0430528264</t>
  </si>
  <si>
    <t>Name: Potator BV Description: BE - Law Borrel (ALF/FSR) IBAN: NL65ABNA0430528264 Value date: 23/01/2026</t>
  </si>
  <si>
    <t>Name: Olaf Scheepers Description: BG - Office Supplies IBAN: NL08ASNB0706948270 Value date: 23/01/2026</t>
  </si>
  <si>
    <t>Stichting De Balie Centrum voor Theater Politiek en Litteratuur</t>
  </si>
  <si>
    <t>NL93TRIO0254826288</t>
  </si>
  <si>
    <t>Name: Stichting De Balie Centrum voor Theater Politiek en Litteratuur Description: AC - Rhetoric Event IBAN: NL93TRIO0254826288 Value date: 23/01/2026</t>
  </si>
  <si>
    <t>Wesley Kraan</t>
  </si>
  <si>
    <t>NL65SNSB0772674604</t>
  </si>
  <si>
    <t>Name: Wesley Kraan Description: BG - Old Board Expense - First AID IBAN: NL65SNSB0772674604 Value date: 23/01/2026</t>
  </si>
  <si>
    <t>Name: Stripe Technology Europe Ltd Description: Wix Payments R6P5Y4 IBAN: DK8789000000014387 Value date: 23/01/2026</t>
  </si>
  <si>
    <t>Name: Stripe Technology Europe Ltd Description: Wix Payments P7I2Q6 IBAN: DK8789000000014387 Value date: 22/01/2026</t>
  </si>
  <si>
    <t>Name: TransIP B.V. Description: FACTUUR F0000.2601.0011.4539 IBAN: NL85INGB0654416265 Reference: E2E-ID-NL-232090750 Mandate ID: MANDATE-NL-200315305-1 Creditor ID: NL39ZZZ243458990000 Recurrent SEPA direct debit Value date: 22/01/2026</t>
  </si>
  <si>
    <t>Name: Stripe Technology Europe Ltd Description: Wix Payments L1V9W8 IBAN: DK8789000000014387 Value date: 21/01/2026</t>
  </si>
  <si>
    <t>Name: Stripe Technology Europe Ltd Description: Wix Payments O3R9X9 IBAN: DK8789000000014387 Value date: 20/01/2026</t>
  </si>
  <si>
    <t>Name: Stripe Technology Europe Ltd Description: Wix Payments Y9K5V0 IBAN: DK8789000000014387 Value date: 19/01/2026</t>
  </si>
  <si>
    <t>Name: Stripe Technology Europe Ltd Description: Wix Payments C1L1B9 IBAN: DK8789000000014387 Value date: 16/01/2026</t>
  </si>
  <si>
    <t>Name: Moneybird B.V. Description: Moneybird B.V. 2026-25699 MoneyBird B.V. IBAN: NL65ADYB2006011162 Reference: C59QP3Q8V5QL7CX3 Mandate ID: RNVFDS4VN4LKTTX3 Creditor ID: NL48ZZZ342764500000 Recurrent SEPA direct debit Value date: 13/01/2026</t>
  </si>
  <si>
    <t>Name: Stripe Technology Europe Ltd Description: Wix Payments W4H8B8 IBAN: DK8789000000014387 Value date: 12/01/2026</t>
  </si>
  <si>
    <t>Groepsaccom. Brabantbos</t>
  </si>
  <si>
    <t>NL47RABO0128808322</t>
  </si>
  <si>
    <t>Name: Groepsaccom. Brabantbos Description: eindoverzicht huurcontractnr. 2533 IBAN: NL47RABO0128808322 Date/time: 06-01-2026 17:49:04 Value date: 06/01/2026</t>
  </si>
  <si>
    <t>NL41INGB0101785844</t>
  </si>
  <si>
    <t>Name: Johan Degel Description: AIMTeam - Volleyball expenses IBAN: NL41INGB0101785844 Value date: 02/01/2026</t>
  </si>
  <si>
    <t>Amira Hertkorn</t>
  </si>
  <si>
    <t>NL85INGB0113607024</t>
  </si>
  <si>
    <t>NL97INGB0651916844</t>
  </si>
  <si>
    <t>Name: Liora Schubert Description: CC - Ice Skating tickets IBAN: NL97INGB0651916844 Value date: 02/01/2026</t>
  </si>
  <si>
    <t>Jasmin Hirvela</t>
  </si>
  <si>
    <t>NL63INGB0113610912</t>
  </si>
  <si>
    <t>Name: Jasmin Hirvela Description: CC - Ice Skating - Snacks IBAN: NL63INGB0113610912 Value date: 02/01/2026</t>
  </si>
  <si>
    <t>Name: Wesley Kraan Description: FMW - Old Board Expense - Spoons return IBAN: NL65SNSB0772674604 Value date: 02/01/2026</t>
  </si>
  <si>
    <t>Helena Komierowska</t>
  </si>
  <si>
    <t>NL11ABNA0147607299</t>
  </si>
  <si>
    <t>Name: Helena Komierowska Description: BG - Committee appreciation - Pub Quiz IBAN: NL11ABNA0147607299 Value date: 02/01/2026</t>
  </si>
  <si>
    <t>Name: Liora Schubert Description: CC - Ice Skating - Hats IBAN: NL97INGB0651916844 Value date: 02/01/2026</t>
  </si>
  <si>
    <t>Charlotte Müller</t>
  </si>
  <si>
    <t>1eb1c07e-77fd-4a19-8046-fef47aec2983</t>
  </si>
  <si>
    <t>037d9a39-950d-4229-bbd9-915586bb3534</t>
  </si>
  <si>
    <t>654ed823-f915-4580-88ea-b4e8f3d51c18</t>
  </si>
  <si>
    <t>253a69e9-dc36-46ab-8f0e-badb41370cd4</t>
  </si>
  <si>
    <t>73dfff33-99c2-4b8e-bf01-59ddfcfa8c01</t>
  </si>
  <si>
    <t>billie rose steenhagen</t>
  </si>
  <si>
    <t>€0.60</t>
  </si>
  <si>
    <t>€5.55</t>
  </si>
  <si>
    <t>b83d5ded-98b0-48fa-81f6-6e973cbfd0ab</t>
  </si>
  <si>
    <t>7f1cfd16-f145-439d-8875-aed59be66954</t>
  </si>
  <si>
    <t>075c3b20-3aac-45ad-8c73-b1217fa084b3</t>
  </si>
  <si>
    <t>2d416a6b-83f1-49b4-a641-d1900520a717</t>
  </si>
  <si>
    <t>Iga Stępniak</t>
  </si>
  <si>
    <t>c88970fc-1338-4783-830f-0852ed24e267</t>
  </si>
  <si>
    <t>298f79de-eeca-4c95-9dfd-ad104957d296</t>
  </si>
  <si>
    <t>Francesco Janse</t>
  </si>
  <si>
    <t>72280270-a7db-4ccf-b8ed-da46285d62d2</t>
  </si>
  <si>
    <t>284dcf73-00f5-41da-b57f-40cc9f65be51</t>
  </si>
  <si>
    <t>77067ea0-660a-4aa3-85ce-cf2b2e19d376</t>
  </si>
  <si>
    <t>3f6ce1d6-37dc-49da-a5bf-245e9dfe55b3</t>
  </si>
  <si>
    <t>Sean Ghys</t>
  </si>
  <si>
    <t>9cf86428-abc4-4318-935d-2fa504be7ef9</t>
  </si>
  <si>
    <t>8803a262-38ff-45cd-a2df-e971d9b0f3e0</t>
  </si>
  <si>
    <t>Alec Giao LE-BOURNIGAULT</t>
  </si>
  <si>
    <t>Sylvain Bournigault</t>
  </si>
  <si>
    <t>cd464747-1078-4e98-9f31-bf29a83f506c</t>
  </si>
  <si>
    <t>87bc91d5-18dc-4170-b8c2-3eb4422cfa5a</t>
  </si>
  <si>
    <t>a8d173c0-415d-46be-a3f5-79decf6a8f7e</t>
  </si>
  <si>
    <t>f28c3057-ce69-4e3a-ab94-aeb3b7c3f130</t>
  </si>
  <si>
    <t>1aeef234-2400-4814-94df-16efa0e9faac</t>
  </si>
  <si>
    <t>c524a34d-9bdc-4261-901a-a225025101f2</t>
  </si>
  <si>
    <t>PT_WorldBorrel_IncomeDrinks</t>
  </si>
  <si>
    <t>BE_Committee_Appreciation_Income</t>
  </si>
  <si>
    <t>PT_WorldBorrel_Drinks</t>
  </si>
  <si>
    <t>AC_StudySession_Snacks</t>
  </si>
  <si>
    <t>SP_IceSkating_Rental</t>
  </si>
  <si>
    <t>Board24/25_Expense</t>
  </si>
  <si>
    <t>SP_IceSkating_Hats</t>
  </si>
  <si>
    <t>SP_Yoga_Rental</t>
  </si>
  <si>
    <t>AC_Rhetoric_Location</t>
  </si>
  <si>
    <t>Bibi Schwartz</t>
  </si>
  <si>
    <t>€3.08</t>
  </si>
  <si>
    <t>€0.46</t>
  </si>
  <si>
    <t>€2.62</t>
  </si>
  <si>
    <t>ba37e655-1b1e-4317-914f-6e69b80ad7d5</t>
  </si>
  <si>
    <t>6a69a652-a936-4c11-883d-4a68e8922c58</t>
  </si>
  <si>
    <t>c557923c-d1e5-40d4-a169-acb024d58a26</t>
  </si>
  <si>
    <t>€0.44</t>
  </si>
  <si>
    <t>€2.64</t>
  </si>
  <si>
    <t>1da5e256-e639-4112-b197-6a7456a48b0a</t>
  </si>
  <si>
    <t>11bd03a1-f631-4952-a731-2c0ea0fe5b3a</t>
  </si>
  <si>
    <t>Jannis Lommen</t>
  </si>
  <si>
    <t>6bda676d-cc0e-4bac-8690-0aff4821e0ed</t>
  </si>
  <si>
    <t>c9196e74-7efc-4be7-b107-fe8497ca33ac</t>
  </si>
  <si>
    <t>Witold Staniszkis</t>
  </si>
  <si>
    <t>€5.13</t>
  </si>
  <si>
    <t>€0.53</t>
  </si>
  <si>
    <t>€4.60</t>
  </si>
  <si>
    <t>12878a23-2bc5-4a82-8142-94ddccb05c93</t>
  </si>
  <si>
    <t>d3c0b0b3-d9be-4d73-af83-f6d9026702bf</t>
  </si>
  <si>
    <t>66bc240a-a8a1-422e-89e3-47129474fc76</t>
  </si>
  <si>
    <t>83354472-415d-4a2b-a54b-2c08730ea1a5</t>
  </si>
  <si>
    <t>Matilde Musetti</t>
  </si>
  <si>
    <t>ba659419-0301-44e2-8b7f-9649bffa91f1</t>
  </si>
  <si>
    <t>5cc9b27f-83f4-40a5-82a1-34267ea78250</t>
  </si>
  <si>
    <t>Laura Gonzalez Oster-Daum</t>
  </si>
  <si>
    <t>Christina Oster-Daum</t>
  </si>
  <si>
    <t>a319d1e9-47ab-4977-96b6-bc8689fbfab8</t>
  </si>
  <si>
    <t>bf565e02-85ea-4d60-b4b2-f08a8ea1baff</t>
  </si>
  <si>
    <t>Matthias Pany</t>
  </si>
  <si>
    <t>65c5f96f-b297-4780-99c3-953faf323013</t>
  </si>
  <si>
    <t>c3bde7ea-fb7d-4238-bd04-f518ba00b0d1</t>
  </si>
  <si>
    <t>4a31fc92-7082-41d8-95fe-c4938acf0f23</t>
  </si>
  <si>
    <t>deb0ef8c-b500-4089-8e39-2c2b823fd27b</t>
  </si>
  <si>
    <t>e8c2f0a1-13d2-44b0-89e6-18b9f2da89dd</t>
  </si>
  <si>
    <t>f7caa010-ca8a-4878-a3cd-ab07ad4566be</t>
  </si>
  <si>
    <t>€4.57</t>
  </si>
  <si>
    <t>529c1c82-f208-4e72-ab5d-702c2af83a4c</t>
  </si>
  <si>
    <t>a95f423d-17c3-4cbf-a5f2-278b7c6c0ce8</t>
  </si>
  <si>
    <t>31c5089f-09b8-45a9-ae14-56c71082d437</t>
  </si>
  <si>
    <t>0a316a4c-c713-4c0d-8add-bed2a68447bc</t>
  </si>
  <si>
    <t>Anne Michielse</t>
  </si>
  <si>
    <t>2a26f7a8-3224-434b-9d85-1bd456a901f9</t>
  </si>
  <si>
    <t>ea9dca30-4366-4984-9d2f-3603d63bf477</t>
  </si>
  <si>
    <t>ad7c2cb0-4b83-4564-8fc9-14243a775831</t>
  </si>
  <si>
    <t>0c90a6c5-657f-4980-8e07-ca932d4c056b</t>
  </si>
  <si>
    <t>Lilly Cucciardi</t>
  </si>
  <si>
    <t>7c16c833-5025-4690-8a79-d1b96e51ec1f</t>
  </si>
  <si>
    <t>9b2d43db-2d84-4e83-b445-79ce30641044</t>
  </si>
  <si>
    <t>Missing payouts in ING</t>
  </si>
  <si>
    <t>Anna Roza Vadasdi</t>
  </si>
  <si>
    <t>85fdd82f-c45f-4851-bd63-4d5122b9c191</t>
  </si>
  <si>
    <t>5e89f708-0bac-48d9-bcf8-6eedf4078975</t>
  </si>
  <si>
    <t>0fba3bae-6c99-4358-abc4-f19f701bf9d3</t>
  </si>
  <si>
    <t>Johanna Wode</t>
  </si>
  <si>
    <t>297078f3-61dd-4c74-ae5b-61d445bc9af5</t>
  </si>
  <si>
    <t>2c2dba6d-0ded-46cb-a5ef-f3f2580aaf96</t>
  </si>
  <si>
    <t>9b34d974-b315-4e75-8c04-0a3fc60fb856</t>
  </si>
  <si>
    <t>8d28873b-b11b-404b-869b-839256783d50</t>
  </si>
  <si>
    <t>1bf83a48-c14c-4b59-8483-bb036216f366</t>
  </si>
  <si>
    <t>e31da7f0-b213-41d0-adfe-80e4f563ebdd</t>
  </si>
  <si>
    <t>cbb6f643-7a15-4adb-b451-59e06d836ef3</t>
  </si>
  <si>
    <t>d313d3aa-642c-4677-a231-5b4f143542b3</t>
  </si>
  <si>
    <t>Johanna Windbichler</t>
  </si>
  <si>
    <t>d5778956-8995-4e66-940a-1c2dd830be06</t>
  </si>
  <si>
    <t>3d454789-328d-4b61-9617-84e21accff5b</t>
  </si>
  <si>
    <t>76d58ae1-9b60-4d15-be1d-603f20032a63</t>
  </si>
  <si>
    <t>0a830dae-949c-4aa0-aed2-d2e01d144417</t>
  </si>
  <si>
    <t>Edda Pütz</t>
  </si>
  <si>
    <t>218888e7-ea27-4f38-b223-29a546d9a581</t>
  </si>
  <si>
    <t>7ec0f112-e3d1-4ec5-ade3-cde376c6e1e7</t>
  </si>
  <si>
    <t>933387b0-b3b3-444b-a5a7-88a0f082c860</t>
  </si>
  <si>
    <t>fcd400cf-83a3-428f-b8d9-bf0a6e27b14e</t>
  </si>
  <si>
    <t>6de881e1-92f7-4711-9ea5-08d103a645de</t>
  </si>
  <si>
    <t>8b2a49af-0afe-45c7-a2ca-420a3f7c908f</t>
  </si>
  <si>
    <t>791e6842-e7b7-4972-bed6-de9920e8224f</t>
  </si>
  <si>
    <t>6e58bf35-bc12-4eb0-811a-5e8e62405afa</t>
  </si>
  <si>
    <t>f0301c8c-6645-42fc-bde3-a64b650533b0</t>
  </si>
  <si>
    <t>ac72e2ad-6756-409c-9c47-3320c2a87bcb</t>
  </si>
  <si>
    <t>b4170e57-a81c-4144-bb7c-a19ce90d5da4</t>
  </si>
  <si>
    <t>Josh Folkers</t>
  </si>
  <si>
    <t>5b1abf03-69c6-445d-9ad2-4a6f7ff28715</t>
  </si>
  <si>
    <t>c07fcc78-e478-40e0-b60c-3a2376a8d52b</t>
  </si>
  <si>
    <t>06e9525f-b8a8-4184-9473-b3c357d299d8</t>
  </si>
  <si>
    <t>a5d8285a-78c8-43e8-a71d-20269dbbd39f</t>
  </si>
  <si>
    <t>c3297727-7277-448f-b18d-f56eeb417488</t>
  </si>
  <si>
    <t>4e33048b-7021-48ec-92b9-c595da142882</t>
  </si>
  <si>
    <t>Rudolfs Virko</t>
  </si>
  <si>
    <t>a58b0e4d-3667-47a2-8dec-49838940b3df</t>
  </si>
  <si>
    <t>1f5640d6-7290-4f7a-bed4-9671a8815cb7</t>
  </si>
  <si>
    <t>b9e5289f-3276-4863-a772-ca7b9e172fae</t>
  </si>
  <si>
    <t>38994aa2-3f92-45b2-92ec-326e7998921f</t>
  </si>
  <si>
    <t>1016aba5-f336-4482-a9d6-fc849dd3883f</t>
  </si>
  <si>
    <t>2197fb88-4295-4842-b2e5-096461eae9c8</t>
  </si>
  <si>
    <t>b0ffef49-1a89-4335-8385-95b24ab2695a</t>
  </si>
  <si>
    <t>2c00c9d8-0c56-418e-b2d4-7d7d4cd5c1dc</t>
  </si>
  <si>
    <t>€8.21</t>
  </si>
  <si>
    <t>€7.55</t>
  </si>
  <si>
    <t>67ce055f-8902-44da-a163-9da44b4f8dff</t>
  </si>
  <si>
    <t>ca7a769d-fdf3-47cb-a181-b878c7c34ea2</t>
  </si>
  <si>
    <t>da8b4d53-5c38-4fd4-b8bf-7da06eb302ef</t>
  </si>
  <si>
    <t>77e6e391-4718-4111-895b-b9a2a3856605</t>
  </si>
  <si>
    <t>663ca9f9-a1ae-4413-84af-97c771e21aa6</t>
  </si>
  <si>
    <t>c03e89de-cd00-47ee-88ce-de0192846e60</t>
  </si>
  <si>
    <t>b8f6900e-7007-4374-baeb-89f16487a552</t>
  </si>
  <si>
    <t>24ebb33c-0203-47b2-a32c-e9b31cf7c6db</t>
  </si>
  <si>
    <t>05ef7071-8265-4d2d-bba2-88e0431a0b13</t>
  </si>
  <si>
    <t>5551424e-0065-40f2-b54a-692099836c77</t>
  </si>
  <si>
    <t>ec426d41-06e2-4475-bb4f-77c2048ff509</t>
  </si>
  <si>
    <t>362952b1-ff37-4654-a2af-cc86a8eb3823</t>
  </si>
  <si>
    <t>Natalia Kotulska</t>
  </si>
  <si>
    <t>€0.47</t>
  </si>
  <si>
    <t>€2.61</t>
  </si>
  <si>
    <t>4b6bc767-bb39-4621-b232-c24fcadb7386</t>
  </si>
  <si>
    <t>2aa10e6a-05c5-4a88-8829-002511a61d09</t>
  </si>
  <si>
    <t>81051d5f-ecc7-41ef-bddb-630de162f02a</t>
  </si>
  <si>
    <t>accb0e2a-8d2c-49d1-9a21-cab6545f0e85</t>
  </si>
  <si>
    <t>dd9efd7c-afcf-40ff-b584-5833cc3f4ef3</t>
  </si>
  <si>
    <t>7d2bb4b2-ecbb-4fe0-b36e-dbcaf8ba036e</t>
  </si>
  <si>
    <t>Naz Oksuz</t>
  </si>
  <si>
    <t>9a49b2bf-e77c-4120-8d94-f7f663039fe9</t>
  </si>
  <si>
    <t>05dc6bc7-e3db-4cf6-a3ab-2b1f4beafd17</t>
  </si>
  <si>
    <t>b9688903-1c9c-4b7d-8323-480fe7b2e8ef</t>
  </si>
  <si>
    <t>ba6a9433-dc8f-4918-996a-9f25b3289dc0</t>
  </si>
  <si>
    <t>Greta Felicitas Vec</t>
  </si>
  <si>
    <t>5553d3a9-b8af-412d-9c2d-5bd5b79963f2</t>
  </si>
  <si>
    <t>9eb54fee-1684-43be-927f-aa29d1abc5c9</t>
  </si>
  <si>
    <t>710e9001-9d6b-49f7-a404-112a2f5381fe</t>
  </si>
  <si>
    <t>d4e868ee-dde0-437c-a041-75c33ca17660</t>
  </si>
  <si>
    <t>Floor Pen</t>
  </si>
  <si>
    <t>53b47a6d-3600-4577-8e7d-4ac6b8cd2ada</t>
  </si>
  <si>
    <t>09fa8460-54a8-49ef-860d-a3de00766095</t>
  </si>
  <si>
    <t>a68aa334-deba-4cf0-991d-fef392edf412</t>
  </si>
  <si>
    <t>832a3bd1-31f8-4e66-be4b-57cc3a5a1cb3</t>
  </si>
  <si>
    <t>41a22e61-7d7b-4b11-b18f-3585a64176a9</t>
  </si>
  <si>
    <t>e5882693-0165-40d2-9869-c74fc9478a76</t>
  </si>
  <si>
    <t>3fbe2785-d684-4c02-bda6-2dc9757495e9</t>
  </si>
  <si>
    <t>4f6de600-474f-4b96-91e1-0c2f3311a73d</t>
  </si>
  <si>
    <t>b9e1424d-a18e-4c55-92bc-d77ba943268e</t>
  </si>
  <si>
    <t>055872eb-d12f-4112-bd8a-970a64b01d47</t>
  </si>
  <si>
    <t>f41545cb-b01c-459e-8421-2a01ad95fca5</t>
  </si>
  <si>
    <t>1b22de21-1329-4361-8ba8-4515fa8c0d0e</t>
  </si>
  <si>
    <t>57069431-1d71-43d7-a429-8c22e534790e</t>
  </si>
  <si>
    <t>Cristina Fico</t>
  </si>
  <si>
    <t>d79d6c63-0bc8-48c7-a443-14ef2c6e0e5c</t>
  </si>
  <si>
    <t>5f09664a-9b20-431e-b463-64d95f505a27</t>
  </si>
  <si>
    <t>b44df9e8-2d41-43e6-b1c2-3bf3759b068b</t>
  </si>
  <si>
    <t>8673fc6a-dee8-40e6-81df-c02e53ba7d10</t>
  </si>
  <si>
    <t>d78e48a8-f469-408c-823e-ad30b304bf9e</t>
  </si>
  <si>
    <t>54154fb2-1169-4aae-bdfc-fdb6dcc7e335</t>
  </si>
  <si>
    <t>3ce7c2b3-1a9d-44a5-8f38-eb435d9a0a2b</t>
  </si>
  <si>
    <t>8a85b17e-1c69-4201-9b59-324c44ac89bc</t>
  </si>
  <si>
    <t>dbe162eb-c91f-437b-a9c0-228ad80f3a8e</t>
  </si>
  <si>
    <t>66f0058c-f4e3-4817-b588-cd7640e3bb9c</t>
  </si>
  <si>
    <t>b3a5ea0b-857b-4c7f-99b5-fa7947729add</t>
  </si>
  <si>
    <t>b2c9e044-4199-4de9-98c4-ab6a0655c16b</t>
  </si>
  <si>
    <t>d389e854-3d72-42d8-8ef0-06e14160e484</t>
  </si>
  <si>
    <t>c841e9c4-a41c-4bee-b8c6-5ab1c961bdd5</t>
  </si>
  <si>
    <t>594f2bdf-98d6-4dbf-9de6-5eec548422a6</t>
  </si>
  <si>
    <t>970ec0a4-d28a-4613-b77e-8ae90ca39317</t>
  </si>
  <si>
    <t>Ralf Schmidt</t>
  </si>
  <si>
    <t>e1306167-c9ce-4629-a2bc-f0e27e4d36f2</t>
  </si>
  <si>
    <t>99a9aacf-e2c8-4117-955a-74d61a43f4f7</t>
  </si>
  <si>
    <t>Georg Rüütsalu</t>
  </si>
  <si>
    <t>3ea52cc1-d411-42d3-843e-0e4dee403dfa</t>
  </si>
  <si>
    <t>ff5df9b1-64a7-4f83-8f37-6db881f96fef</t>
  </si>
  <si>
    <t>9b9e1a23-bf5d-4a36-91f1-2ca061e635bf</t>
  </si>
  <si>
    <t>acdb6eda-1432-4f3f-94f9-3ed87ea2e74d</t>
  </si>
  <si>
    <t>1fd45f29-3952-4801-8e9e-04662439018d</t>
  </si>
  <si>
    <t>3b3629b7-62de-4117-96a1-40b42c7cb360</t>
  </si>
  <si>
    <t>2b5fc3ac-8247-4a69-8c9f-59faff2de2da</t>
  </si>
  <si>
    <t>Emmi Legat</t>
  </si>
  <si>
    <t>c141a849-6f19-4d56-b461-4bf434f5d68f</t>
  </si>
  <si>
    <t>e2b041d0-6964-4ba3-86eb-e7a183d127c0</t>
  </si>
  <si>
    <t>0d43af8d-76c6-4467-95ed-19fc0e51843d</t>
  </si>
  <si>
    <t>b862b8ae-a8c3-4996-8af4-a59f4265f0f6</t>
  </si>
  <si>
    <t>6185cb12-b26d-4037-b520-580a080bb565</t>
  </si>
  <si>
    <t>d6543aa9-fc7f-440b-b8e0-4c4a039e6bdd</t>
  </si>
  <si>
    <t>€2.05</t>
  </si>
  <si>
    <t>€0.41</t>
  </si>
  <si>
    <t>€1.64</t>
  </si>
  <si>
    <t>b300e0fd-4077-4094-9fa1-f4c4f7425aaf</t>
  </si>
  <si>
    <t>7995f8be-f72c-4221-9daf-bc8452171acd</t>
  </si>
  <si>
    <t>2a5c1bfd-f6bf-4278-ba9c-574277561577</t>
  </si>
  <si>
    <t>SP_Yoga_Member</t>
  </si>
  <si>
    <t>9c896ce1-c46f-4c09-89aa-7d60b4c19e40</t>
  </si>
  <si>
    <t>835dc178-b633-4919-a8ae-18417151bf25</t>
  </si>
  <si>
    <t>8cd420df-4d48-43f9-849c-98f40d5c5730</t>
  </si>
  <si>
    <t>9ed5333c-7d6e-4b5f-88b2-ece3dba6d78a</t>
  </si>
  <si>
    <t>eec54c7f-ba0c-408b-9fcc-5a8e1a1e4461</t>
  </si>
  <si>
    <t>506bcbee-fc23-4665-9e51-853370e9a5c7</t>
  </si>
  <si>
    <t>f30734d7-f23c-45fe-b4fc-a290c886018e</t>
  </si>
  <si>
    <t>796983ed-03dd-4e82-9eb1-513cffb46d24</t>
  </si>
  <si>
    <t>0eb1c396-2665-4878-9727-2a808fb1e305</t>
  </si>
  <si>
    <t>1e569ea7-ab0a-4634-bd83-9349aa604f67</t>
  </si>
  <si>
    <t>ec392818-59be-4208-9116-35ea6389893c</t>
  </si>
  <si>
    <t>Berke Yilmaz</t>
  </si>
  <si>
    <t>€4.10</t>
  </si>
  <si>
    <t>€3.60</t>
  </si>
  <si>
    <t>89afe8a9-7313-449a-a6f5-5aed3a962aa2</t>
  </si>
  <si>
    <t>83528f10-10ce-4bfc-84b2-e582511a335e</t>
  </si>
  <si>
    <t>501bee18-cd18-4dea-9b32-2ab0fc78a14a</t>
  </si>
  <si>
    <t>a847e9d0-17e6-48c9-a741-8f8016178663</t>
  </si>
  <si>
    <t>e26be3fc-39af-4781-8646-22bee5c56145</t>
  </si>
  <si>
    <t>6b23c845-4ca6-4e02-80bd-307cc17d2654</t>
  </si>
  <si>
    <t>Maas Heinemans</t>
  </si>
  <si>
    <t>11ea6ade-25da-4ef9-b2cf-aefb3c498618</t>
  </si>
  <si>
    <t>376a95a2-3f8b-456d-8773-65dac41e5057</t>
  </si>
  <si>
    <t xml:space="preserve">Witold Staniszkis </t>
  </si>
  <si>
    <t>dfd05e25-3f40-424d-9ec3-81b3bccee109</t>
  </si>
  <si>
    <t>b8dd5a60-6470-4a8f-b6d1-3aa1339de38b</t>
  </si>
  <si>
    <t>€0.39</t>
  </si>
  <si>
    <t>€1.66</t>
  </si>
  <si>
    <t>bf2c2db4-6487-44b9-b40b-fa9531168d11</t>
  </si>
  <si>
    <t>5f2d31fe-f37b-4f73-b670-3a0625bb5a19</t>
  </si>
  <si>
    <t>d928f57f-0280-4348-9901-bc76a81a6a4d</t>
  </si>
  <si>
    <t>8421b478-1acb-4779-a3f2-023bd3307751</t>
  </si>
  <si>
    <t>Jasmime Stomberg</t>
  </si>
  <si>
    <t>Jasmine Stomberg</t>
  </si>
  <si>
    <t>0948ee09-7d61-4205-a73f-2cc9ce8f5992</t>
  </si>
  <si>
    <t>53bcca5a-2477-480f-8934-97cad38d7374</t>
  </si>
  <si>
    <t>337412d0-fc21-46b3-bea5-a7ae6c9f99b0</t>
  </si>
  <si>
    <t>162fc7e6-5618-44f5-8e4b-cca44425473a</t>
  </si>
  <si>
    <t>0feea0e0-6a2d-481e-b4f0-fd22191d8619</t>
  </si>
  <si>
    <t>bf649a91-0c39-47e8-ad6d-edb088f10ea5</t>
  </si>
  <si>
    <t>Mia Fischer</t>
  </si>
  <si>
    <t>575ce9cc-3904-41d5-9e16-455cfdacf378</t>
  </si>
  <si>
    <t>e6e77f70-47d6-4c9f-8e28-630139bad246</t>
  </si>
  <si>
    <t>Ben Esch</t>
  </si>
  <si>
    <t>99510290-f737-4df9-94a4-f791d2fe4dc5</t>
  </si>
  <si>
    <t>cf7eeb1c-bb4a-4e7c-a008-9a8be9c3d4dd</t>
  </si>
  <si>
    <t>2f9c76f3-4595-4676-a8ed-595f88131b60</t>
  </si>
  <si>
    <t>2ff29f41-50cc-4ea4-84af-1d662d8b9416</t>
  </si>
  <si>
    <t>319473d3-1813-4213-95dc-d608e957ea51</t>
  </si>
  <si>
    <t>4564ccb0-ae55-46ea-8245-28a9178b9456</t>
  </si>
  <si>
    <t>f45ad21b-623d-45a0-9c0e-774eae57ba77</t>
  </si>
  <si>
    <t>80f9f13f-fc97-42cc-9118-bbf0c2ac7192</t>
  </si>
  <si>
    <t>Henrik Folkvord</t>
  </si>
  <si>
    <t>02b3c003-b0cd-4391-ba1f-3ea8069de02f</t>
  </si>
  <si>
    <t>f4e0ca08-2390-44b1-ab30-f5abcd9961d9</t>
  </si>
  <si>
    <t>Luisa Schaumann</t>
  </si>
  <si>
    <t>6a3b24a2-e83c-45b9-80d0-27aff62153ea</t>
  </si>
  <si>
    <t>ea2206bc-ad18-4139-a9b3-be326dd16c0f</t>
  </si>
  <si>
    <t>e5ba1631-b7b3-4fbb-8dc2-ce2d82615b15</t>
  </si>
  <si>
    <t>438c5ed5-c212-4e37-b74d-6557533d926e</t>
  </si>
  <si>
    <t>3cb1dcba-a9bf-4cdd-a71c-c1874ca7593b</t>
  </si>
  <si>
    <t>2db04f90-6f23-45da-9931-973d11419ced</t>
  </si>
  <si>
    <t>cbe66801-ef93-49b0-bfb8-ab8a16e9e031</t>
  </si>
  <si>
    <t>8f6f30f3-a787-456c-ab42-b9e0b3fdf4f3</t>
  </si>
  <si>
    <t>Roy Turksma</t>
  </si>
  <si>
    <t>7c731060-fc8b-4b06-a29a-6720602854c4</t>
  </si>
  <si>
    <t>aba7330a-633e-4092-a755-4eadc6f3eada</t>
  </si>
  <si>
    <t>€0.40</t>
  </si>
  <si>
    <t>€1.65</t>
  </si>
  <si>
    <t>08d46e7d-96be-4963-bd92-cdf41443da66</t>
  </si>
  <si>
    <t>767b274e-992a-4f25-8310-9b55bc354ecf</t>
  </si>
  <si>
    <t>SP_Yoga_NonMember</t>
  </si>
  <si>
    <t>PT_Casino_Member</t>
  </si>
  <si>
    <t>PT_Casino_NonMember</t>
  </si>
  <si>
    <t>Enya Berninger</t>
  </si>
  <si>
    <t>69a011c1-e9c9-4c22-beda-3750f2820f13</t>
  </si>
  <si>
    <t>2f34f666-6472-40e6-9451-79e9e26ff80c</t>
  </si>
  <si>
    <t>0a2a0aac-0d50-4dd9-adf3-811cb5e3d308</t>
  </si>
  <si>
    <t>Hannah Back</t>
  </si>
  <si>
    <t>7202b158-75d4-486f-9a6a-c8b285feaf44</t>
  </si>
  <si>
    <t>92352605-d108-4615-9aca-10a7b606a9e6</t>
  </si>
  <si>
    <t>52d8cd83-324e-47bc-979a-01431599d272</t>
  </si>
  <si>
    <t>bfeb9da7-c614-434e-8789-8bf6943f3203</t>
  </si>
  <si>
    <t>823b1505-8f10-4ea1-80fa-b9e9f166e29a</t>
  </si>
  <si>
    <t>59e4034f-c03a-456e-a6b4-2d93c316a375</t>
  </si>
  <si>
    <t>78946ffe-22a8-4521-aec5-ee05455bd429</t>
  </si>
  <si>
    <t>a920a240-f1cc-455f-8a21-8ed6a86796dc</t>
  </si>
  <si>
    <t>892cd3c5-1c5c-4cbe-a91c-74bba8a46cf3</t>
  </si>
  <si>
    <t>2eb1fe96-d0b9-4f4f-8d72-23a31843eced</t>
  </si>
  <si>
    <t>9dd6ee57-03c6-4cd5-89d9-804b651c3e6a</t>
  </si>
  <si>
    <t>61fd58e4-1c66-4eab-95e6-8278a25de7ca</t>
  </si>
  <si>
    <t>1a6949ce-a98b-434b-a1c0-deed9a876314</t>
  </si>
  <si>
    <t>9a1bfd05-cdb1-40d2-b037-528cd41abc70</t>
  </si>
  <si>
    <t>0227109f-13a8-435a-8280-ea27e6a9c3c2</t>
  </si>
  <si>
    <t>0b47d10c-b07c-41ec-a321-e71850d7d891</t>
  </si>
  <si>
    <t>ebce0aee-355e-48b2-ba7e-a9d1f14dd266</t>
  </si>
  <si>
    <t>bac11199-ac2d-4eb0-82d3-f09459a795c6</t>
  </si>
  <si>
    <t>2400a35c-a7b3-4c2e-93b6-dce8b5fe1072</t>
  </si>
  <si>
    <t>2f4d0d28-9bdf-4d9e-9397-6fccb1e1ec6b</t>
  </si>
  <si>
    <t>Julia Sanchez</t>
  </si>
  <si>
    <t>Julia Sánchez Pedraza</t>
  </si>
  <si>
    <t>b944da09-89bb-4b69-bec4-e69271e47ab0</t>
  </si>
  <si>
    <t>1f99c7b9-92f7-4118-8e61-1b2d0b828253</t>
  </si>
  <si>
    <t>Yuxian Chin</t>
  </si>
  <si>
    <t>435753c0-64a9-499c-970c-2f9af6aa4af4</t>
  </si>
  <si>
    <t>a679926d-4f34-4b4a-b753-69139a1f903a</t>
  </si>
  <si>
    <t>33e9ca19-68ac-46eb-bce2-77dbff909dc2</t>
  </si>
  <si>
    <t>b7ef54dd-21f3-4904-a169-4fb1ccfb3bb8</t>
  </si>
  <si>
    <t>Jade Saint Girons</t>
  </si>
  <si>
    <t>€0.58</t>
  </si>
  <si>
    <t>€4.55</t>
  </si>
  <si>
    <t>4e183a91-b98e-404d-a798-b48c268f5cae</t>
  </si>
  <si>
    <t>df21a9f0-2740-4940-b38c-321c565e5668</t>
  </si>
  <si>
    <t>114da5dd-58a5-4b9b-8c19-eedfa19e0d76</t>
  </si>
  <si>
    <t>b36ede51-62d4-43c3-88c0-6d8fb4f0733d</t>
  </si>
  <si>
    <t>a2e7ece3-b72f-492c-9a07-3af72a225280</t>
  </si>
  <si>
    <t>d93fa3cc-675b-426f-9052-7b182f38a8d1</t>
  </si>
  <si>
    <t>Emma Legutko</t>
  </si>
  <si>
    <t>€8.20</t>
  </si>
  <si>
    <t>€0.65</t>
  </si>
  <si>
    <t>b98b08eb-bcce-477a-a785-c96359520413</t>
  </si>
  <si>
    <t>e2c32b7e-4d8a-491c-9470-6866b45bbc65</t>
  </si>
  <si>
    <t>Charlotte Tacoma</t>
  </si>
  <si>
    <t>791894ac-fe61-4068-bef5-ace290bdd844</t>
  </si>
  <si>
    <t>ee15b0f1-53d5-42d9-9247-2f63aeadaff5</t>
  </si>
  <si>
    <t>e0f87ad6-a2cb-4bf2-bd12-8e9234a511ce</t>
  </si>
  <si>
    <t>a032006c-361d-4b0d-849a-001c9aef0cbc</t>
  </si>
  <si>
    <t>04214de6-ef18-467a-9d4f-b4303f6516f2</t>
  </si>
  <si>
    <t>0b23c2da-54cc-4251-afef-cdcfb2f58081</t>
  </si>
  <si>
    <t>f2a41ed2-2d3e-45d9-9d6b-64dc30534317</t>
  </si>
  <si>
    <t>bc115a8d-ee68-4053-b944-2a7489ccf9c4</t>
  </si>
  <si>
    <t>88c36402-3b45-49b1-8340-47165e54e1f7</t>
  </si>
  <si>
    <t>580dda67-4629-4c23-8294-2521cc9fb79a</t>
  </si>
  <si>
    <t>7601567a-9987-43ce-8eb8-ad126256a4dc</t>
  </si>
  <si>
    <t>87a90035-14c0-4326-bbbb-9a2e1ff72c59</t>
  </si>
  <si>
    <t>04e33d21-6af5-4f47-ab1f-a5f7a31b7ac3</t>
  </si>
  <si>
    <t>06297d09-972e-4726-bf81-2db727703900</t>
  </si>
  <si>
    <t>c5a1c7e2-ef16-4189-a19d-c87c79c43e2c</t>
  </si>
  <si>
    <t>cade4a05-dba4-426a-beeb-803cfdd7293b</t>
  </si>
  <si>
    <t>Salome Brochet</t>
  </si>
  <si>
    <t>93edbcae-788b-4003-abf9-b8b5b5d68125</t>
  </si>
  <si>
    <t>db522769-4311-4005-8675-6838aaf859fa</t>
  </si>
  <si>
    <t>bc65a973-c9c1-442f-adb5-748d612ad547</t>
  </si>
  <si>
    <t>c2112f5e-5c26-4671-8b65-02ed3ada7832</t>
  </si>
  <si>
    <t>66174194-721f-48dd-b22c-6c945224567a</t>
  </si>
  <si>
    <t>db058f4a-950c-42d2-ac17-af1d6f30a741</t>
  </si>
  <si>
    <t>076a15d3-494e-4653-905e-ffe5ecf54a02</t>
  </si>
  <si>
    <t>Kristupas Banys</t>
  </si>
  <si>
    <t>b8e74ed4-5e0a-4b5e-84f1-c644f56e6e5f</t>
  </si>
  <si>
    <t>8cee4df5-bf28-4fce-a4a5-20461dcf86b7</t>
  </si>
  <si>
    <t>Ronan Greensmith</t>
  </si>
  <si>
    <t>e01b82b3-9eb4-4525-b402-93f35bf9f89f</t>
  </si>
  <si>
    <t>665e7f74-2e8e-4aa3-8a15-e2772d25bda3</t>
  </si>
  <si>
    <t>Ilja Baldauf</t>
  </si>
  <si>
    <t>Idil H. Baldauf</t>
  </si>
  <si>
    <t>d2551444-9f25-4fdf-a32e-e62800dd98db</t>
  </si>
  <si>
    <t>96f9c7af-351c-46b9-b3f4-bb50394fcade</t>
  </si>
  <si>
    <t>e435d787-8f7a-44b1-8034-6b359f0fbf57</t>
  </si>
  <si>
    <t>2617be62-55fc-4f90-8b92-799de1f13085</t>
  </si>
  <si>
    <t>aa397747-4c88-4011-92bb-7b0ea3a564f6</t>
  </si>
  <si>
    <t>ac64c4c3-c8f8-45a3-a837-cf539ab8f521</t>
  </si>
  <si>
    <t>309fc6eb-30ad-4222-b506-603a47dcc126</t>
  </si>
  <si>
    <t>7506c8b3-ff56-412c-872d-3b883ddbebee</t>
  </si>
  <si>
    <t>4942b35e-141c-4386-9ed6-48d6a4df48ed</t>
  </si>
  <si>
    <t>83408ea0-066f-4625-a77b-61d29b473d26</t>
  </si>
  <si>
    <t>c4a758a0-ab3f-47d5-b645-25bd866765f2</t>
  </si>
  <si>
    <t>875dd1cd-39e7-469d-943f-7bd9be4f5abd</t>
  </si>
  <si>
    <t>31a6213d-7744-4b10-9941-363ca68d122b</t>
  </si>
  <si>
    <t>3c617e51-4e72-46fd-a939-c3c60bc9a7ca</t>
  </si>
  <si>
    <t>acf3c327-7a36-48a1-8f11-521aef97da23</t>
  </si>
  <si>
    <t>0b9ad660-154d-4d2d-a295-5418f18e3eb8</t>
  </si>
  <si>
    <t>a6347309-5319-4459-8925-2c8886bab265</t>
  </si>
  <si>
    <t>85c29fc1-975e-410c-943e-be842d18e7fd</t>
  </si>
  <si>
    <t>447e186b-6ddc-4448-8ff9-08c432f096b7</t>
  </si>
  <si>
    <t>ae304231-19c7-4971-8cc3-8e5800427605</t>
  </si>
  <si>
    <t>46a7d697-01e4-4dca-b420-cd26b5816e8b</t>
  </si>
  <si>
    <t>Jana Saleh</t>
  </si>
  <si>
    <t>9b23b367-5df6-49a5-90e5-3615d59c9e45</t>
  </si>
  <si>
    <t>6ad9b82e-e441-4257-a1da-b7ead283444f</t>
  </si>
  <si>
    <t>Philip Everts</t>
  </si>
  <si>
    <t>8ef4025b-c702-42d1-94d7-5147771a7892</t>
  </si>
  <si>
    <t>477442ec-a2d1-4a63-a239-5f5bce9a9ecf</t>
  </si>
  <si>
    <t>707120d6-2fb2-4555-9fe5-74cc8e81e01c</t>
  </si>
  <si>
    <t>34ba0a4c-4c98-4d55-910e-a8df895f90c8</t>
  </si>
  <si>
    <t>5f93d937-d7e1-4316-91d8-f88fc88c6666</t>
  </si>
  <si>
    <t>64492a96-0539-49c1-b819-11467fc56aa5</t>
  </si>
  <si>
    <t>443a7a70-df1e-4c0a-a512-a90bb768c702</t>
  </si>
  <si>
    <t>ca0d7d71-f54f-4638-a6c5-4644a76c5c77</t>
  </si>
  <si>
    <t>dcdc050a-d263-4b36-82fc-b75f2d6bfe84</t>
  </si>
  <si>
    <t>624c296b-d4c6-4ee5-b122-c90d4061c69c</t>
  </si>
  <si>
    <t>32f9b810-9b28-4d6a-9f0e-4cd6ca602a56</t>
  </si>
  <si>
    <t>bb993623-6654-4411-b101-768952e30078</t>
  </si>
  <si>
    <t>5f653234-3991-417f-a584-566b0e7b4e70</t>
  </si>
  <si>
    <t>28790806-a6a1-487e-bd91-6052b012ea4f</t>
  </si>
  <si>
    <t>beadda05-cc6f-4785-b2a6-f9031a234cd8</t>
  </si>
  <si>
    <t>cc5d49dd-c918-4b8f-a2c8-0830cafb285f</t>
  </si>
  <si>
    <t>8f22e424-72f9-4698-94b9-11b8641c0490</t>
  </si>
  <si>
    <t>9633b129-9eef-4307-9e67-963854e47d5f</t>
  </si>
  <si>
    <t>Alice Galzin</t>
  </si>
  <si>
    <t>ee446a19-a1d2-4961-98f3-9f9458a82de4</t>
  </si>
  <si>
    <t>de737b4c-a0ea-446e-8e72-8d8df169ff27</t>
  </si>
  <si>
    <t>Duru Akay</t>
  </si>
  <si>
    <t>MEHMET GURKAN AKAY</t>
  </si>
  <si>
    <t>€0.68</t>
  </si>
  <si>
    <t>€6.50</t>
  </si>
  <si>
    <t>94268775-d5ec-4f48-85b0-3d009dc86461</t>
  </si>
  <si>
    <t>02375645-17ef-4c20-bcdb-4abc569878f4</t>
  </si>
  <si>
    <t>Phoebe Ma</t>
  </si>
  <si>
    <t>5ee36773-c309-467d-86d6-951c1a042ded</t>
  </si>
  <si>
    <t>b26554f0-ed5f-4939-a7cc-bce1d3c20cf8</t>
  </si>
  <si>
    <t>6d552917-bf2c-484f-b4f8-f2893967a38e</t>
  </si>
  <si>
    <t>2b1be85b-3c1c-4b7d-8894-b2a851537235</t>
  </si>
  <si>
    <t>Aimee Gerards</t>
  </si>
  <si>
    <t>07cc6231-e420-4c12-a165-5b858080b618</t>
  </si>
  <si>
    <t>2b9b922f-eaa5-415c-97cb-c46be13adf86</t>
  </si>
  <si>
    <t>Tujanb Brötz</t>
  </si>
  <si>
    <t>ab4a3b1c-4706-4faf-8271-5ca47a21fc14</t>
  </si>
  <si>
    <t>f95e9e17-7cb4-4e74-8d63-b3113fc0c5e9</t>
  </si>
  <si>
    <t>Emma Forbes</t>
  </si>
  <si>
    <t>43a58046-1e98-49d4-86c0-d9a15eaf8d16</t>
  </si>
  <si>
    <t>547c60bf-22cb-4df5-9b33-00b98c407a4a</t>
  </si>
  <si>
    <t>Basile Allegre</t>
  </si>
  <si>
    <t>MR ALLEGRE BASILE</t>
  </si>
  <si>
    <t>20977abc-e8d2-4340-8286-afda10a37147</t>
  </si>
  <si>
    <t>51c21776-1e9c-4b46-869a-535f19e57a89</t>
  </si>
  <si>
    <t>Robin Lebelec</t>
  </si>
  <si>
    <t>6e63518e-b77b-49ad-b4c5-c5ce4629e37d</t>
  </si>
  <si>
    <t>f66b3c47-1449-4960-a017-6a9ba32903ed</t>
  </si>
  <si>
    <t>2c106185-7d4b-4a4b-ba6a-41e7c05b539d</t>
  </si>
  <si>
    <t>a89b11a3-9186-42b1-9b5b-57e098cdc920</t>
  </si>
  <si>
    <t>7f45c7b1-38b8-4ca0-8b7f-acf2992880d3</t>
  </si>
  <si>
    <t>ab074261-29ac-4c1f-84aa-79ee2e9fa509</t>
  </si>
  <si>
    <t>2f6a7a40-8bae-4a56-ab18-356bed0e0505</t>
  </si>
  <si>
    <t>83779e1f-c033-4de1-9141-c9febf2b098d</t>
  </si>
  <si>
    <t>ELISA HASPER</t>
  </si>
  <si>
    <t>281bd26c-0e76-43c5-9518-82636cd5fd75</t>
  </si>
  <si>
    <t>ce2b30fa-398a-4d4a-9fde-950461d28754</t>
  </si>
  <si>
    <t>emma krijger</t>
  </si>
  <si>
    <t>924b3e28-50f4-4515-a901-fc52d898b1ae</t>
  </si>
  <si>
    <t>73c8d41e-55ca-477f-9b3e-7f34244a6780</t>
  </si>
  <si>
    <t>Phileine Huntjens</t>
  </si>
  <si>
    <t>85032043-3831-429e-ac04-4780c906ecff</t>
  </si>
  <si>
    <t>711f5e9b-e373-42dc-9087-2820eef62a86</t>
  </si>
  <si>
    <t>c3bf7c4c-3935-4028-b87c-e3f0c6a3ea32</t>
  </si>
  <si>
    <t>6f92e0f4-4298-4cbe-9f8c-7d3087190a65</t>
  </si>
  <si>
    <t>Emilia Pfeiffer</t>
  </si>
  <si>
    <t>63fc61e2-fa0a-4d0f-9cb9-d3441d9d8528</t>
  </si>
  <si>
    <t>163eface-9db3-49b8-bdb2-5277e0805892</t>
  </si>
  <si>
    <t>465e1be0-ec94-4ae1-90d4-0ba39dca883f</t>
  </si>
  <si>
    <t>11c14292-389e-46e0-b095-1cc51e9c8d13</t>
  </si>
  <si>
    <t>8bef32ed-09fe-4f9d-b250-2c61d6528912</t>
  </si>
  <si>
    <t>07340ad4-5f01-485f-83bd-48de99a52dfb</t>
  </si>
  <si>
    <t>Mylène Truong</t>
  </si>
  <si>
    <t>953dd23a-d7a8-4a2e-be12-3d743c10c710</t>
  </si>
  <si>
    <t>6a58e2ff-8400-4e86-83ce-ce4eb75dbd75</t>
  </si>
  <si>
    <t>Malik Waeles</t>
  </si>
  <si>
    <t>4f670143-6a1a-401a-b14d-4d0c8d1a8e23</t>
  </si>
  <si>
    <t>b2a5e924-2255-4b6c-a475-8f98a95d8e51</t>
  </si>
  <si>
    <t>Mirabelle Kelder</t>
  </si>
  <si>
    <t>0da4d03f-a00a-4b18-a94f-180f10244c1f</t>
  </si>
  <si>
    <t>5a287a6a-d2a7-4f67-884e-77019e540381</t>
  </si>
  <si>
    <t>Charlie Van de Pijpekamp</t>
  </si>
  <si>
    <t>04546f8e-5aba-44c9-aa7b-32c0f1b73b6b</t>
  </si>
  <si>
    <t>88692ebb-ba00-4c3d-aef6-df0c4aa674d8</t>
  </si>
  <si>
    <t>Benjamin Puganigg</t>
  </si>
  <si>
    <t>80c7c488-23f4-4cc9-8f9a-385ab59c04cf</t>
  </si>
  <si>
    <t>e58577b0-0347-491e-ab14-70e97d28ae03</t>
  </si>
  <si>
    <t>Anna-Lena von Hoyenberg</t>
  </si>
  <si>
    <t>321b01ef-8641-41aa-bbe7-544ddb81726a</t>
  </si>
  <si>
    <t>41cee5cb-6afc-43c7-bde5-3cba765100e3</t>
  </si>
  <si>
    <t>€0.59</t>
  </si>
  <si>
    <t>€4.54</t>
  </si>
  <si>
    <t>7b8e9255-eaa2-47ac-afe6-cd13c6c3d337</t>
  </si>
  <si>
    <t>5267c513-8baa-499f-8688-74c5492b0a4e</t>
  </si>
  <si>
    <t>a90d9d73-4bb9-4f05-8f82-9f3c846822e0</t>
  </si>
  <si>
    <t>112c8e43-1303-491e-9b44-4feec4808d6d</t>
  </si>
  <si>
    <t>2cf32208-d1dc-4282-8ac1-e909e128c304</t>
  </si>
  <si>
    <t>45b3ef05-2b8f-4586-ac90-8ffb9c86677c</t>
  </si>
  <si>
    <t>fd710172-576e-4682-bbe0-a50b06d75417</t>
  </si>
  <si>
    <t>Iñigo Soto</t>
  </si>
  <si>
    <t>05f84eca-d80f-42db-817e-a0c936ecfa25</t>
  </si>
  <si>
    <t>778bf401-8b5d-4de5-9e59-d75e85598221</t>
  </si>
  <si>
    <t>Javier Marzal Martínez</t>
  </si>
  <si>
    <t>6990bca7-cd80-4003-bbaf-3a7fac15709f</t>
  </si>
  <si>
    <t>309393a6-0761-440f-9523-50d280a39a63</t>
  </si>
  <si>
    <t>€12.31</t>
  </si>
  <si>
    <t>€0.91</t>
  </si>
  <si>
    <t>€11.40</t>
  </si>
  <si>
    <t>03489bde-5bc2-46a5-8dc0-caecdc82b211</t>
  </si>
  <si>
    <t>744104c3-3fcc-41d4-bb27-6b1baa4d92f7</t>
  </si>
  <si>
    <t>Clement Prate</t>
  </si>
  <si>
    <t>b0c1df7f-f533-49d6-93a7-afe7ddae2e7a</t>
  </si>
  <si>
    <t>ef2d9f84-8ec8-4106-825d-e59d7379e7e9</t>
  </si>
  <si>
    <t>Elliot Savin</t>
  </si>
  <si>
    <t>8b32ce74-e056-4c22-ac08-733b3e938ab6</t>
  </si>
  <si>
    <t>779a4fed-5d89-4aac-920a-7e10644dfc5c</t>
  </si>
  <si>
    <t>509b4271-e0b0-40d0-a71e-e608939d3a0c</t>
  </si>
  <si>
    <t>8c2c822a-9f19-4b1b-b4f7-5b8e8e746c0a</t>
  </si>
  <si>
    <t>d54cd0e1-200c-4e42-80c6-36558acf8bca</t>
  </si>
  <si>
    <t>c71e9550-6c98-48d7-b85a-cd328976ee86</t>
  </si>
  <si>
    <t>66c7321f-2a95-4aca-9725-e6b29419758f</t>
  </si>
  <si>
    <t>6100cbc9-5853-48d3-9eac-e360e0e17048</t>
  </si>
  <si>
    <t>86e553d8-f0b0-4736-862d-861dab099fd3</t>
  </si>
  <si>
    <t>9268af0c-1652-4823-a093-ce4293aafff7</t>
  </si>
  <si>
    <t>Thomas Baier</t>
  </si>
  <si>
    <t>5bb7b319-f86b-443a-aaeb-a0f403d9abab</t>
  </si>
  <si>
    <t>a08fa664-01b5-4058-a67b-58e7ceeabed2</t>
  </si>
  <si>
    <t>df785779-45ac-4b9a-95d4-0365efc1145e</t>
  </si>
  <si>
    <t>6892dd91-8f6a-4178-80eb-df7c49efe05d</t>
  </si>
  <si>
    <t>8e95ff9f-1211-4f52-95d1-ce4875174e1c</t>
  </si>
  <si>
    <t>5041544b-20af-476e-8ce3-525d4f04b7bc</t>
  </si>
  <si>
    <t>d92b01fd-3244-46fb-99ee-2e5db2b264b9</t>
  </si>
  <si>
    <t>0be4474b-e7d5-4a7c-8904-31d302d36083</t>
  </si>
  <si>
    <t>81181dea-8a17-4b2c-bc94-63b7e45a115b</t>
  </si>
  <si>
    <t>f2352b44-c2ee-4a02-856a-71f11c7e0544</t>
  </si>
  <si>
    <t>e0bc1919-793b-4d5c-a6e6-4c01a8ae36a7</t>
  </si>
  <si>
    <t>eecb0c31-1197-4c86-b140-d0f025de0cc6</t>
  </si>
  <si>
    <t>Max Eble</t>
  </si>
  <si>
    <t>6aa90807-f252-49b5-b695-958db5917233</t>
  </si>
  <si>
    <t>2627bc9a-44e3-4ef6-9c10-4567108a9c14</t>
  </si>
  <si>
    <t>Felix Oldenziel</t>
  </si>
  <si>
    <t>2efcdd8d-28a8-404f-b6ec-0ed0735351f9</t>
  </si>
  <si>
    <t>3e856074-e73c-4ca8-b98e-8d70992f6cbc</t>
  </si>
  <si>
    <t>Hanae Lamoity</t>
  </si>
  <si>
    <t>0d459549-7034-4306-b578-3e209a3bc0ba</t>
  </si>
  <si>
    <t>62b9d818-e4a9-4ab9-8340-c8c8049a76e3</t>
  </si>
  <si>
    <t>967a0ebc-c488-4b87-9f66-465d89ada368</t>
  </si>
  <si>
    <t>be38e75a-5726-4967-8193-97b4c5548410</t>
  </si>
  <si>
    <t>Henri Palokangas</t>
  </si>
  <si>
    <t>d1a42cb6-1dcc-4929-ae3c-10c8d33acfeb</t>
  </si>
  <si>
    <t>9ac375b1-2a3d-40c9-80f1-0602c3271dac</t>
  </si>
  <si>
    <t>bf693512-158f-4476-b5d5-b0f51351d630</t>
  </si>
  <si>
    <t>e56769b3-74c4-4b33-a1f0-581e1ae2bcf9</t>
  </si>
  <si>
    <t>Ella Stanley</t>
  </si>
  <si>
    <t>27dba9b9-c4f7-414a-b374-e20aefc9f7e4</t>
  </si>
  <si>
    <t>ae4dede5-5fc4-4931-8a6d-6eefbb10890c</t>
  </si>
  <si>
    <t>Lucas Schlenker</t>
  </si>
  <si>
    <t>ac9d4e9c-25c7-4fad-8a26-823b56adbe5b</t>
  </si>
  <si>
    <t>0a7a6171-053f-4003-840e-ce408924795d</t>
  </si>
  <si>
    <t>tala jahshan</t>
  </si>
  <si>
    <t>db2d65ad-b6c5-436a-a347-0186c1adb747</t>
  </si>
  <si>
    <t>793661e5-215a-43a9-9686-6f7c7dddd165</t>
  </si>
  <si>
    <t>0b436376-64b9-4be2-bd25-05a24d596749</t>
  </si>
  <si>
    <t>f1a7a3e9-91f7-41ef-8276-46228e6cc7e9</t>
  </si>
  <si>
    <t>1bb0213e-4431-454c-9091-3a1136141c31</t>
  </si>
  <si>
    <t>f79c8e42-3a72-4124-9adb-9cf5341ce0cb</t>
  </si>
  <si>
    <t>7efc7938-b919-4a95-b892-b497589f1ae5</t>
  </si>
  <si>
    <t>Jan Felix Jonker</t>
  </si>
  <si>
    <t>fec5895b-410e-4fa1-ab76-2dc6b438f15c</t>
  </si>
  <si>
    <t>988b14fa-0ced-4c4a-b085-b629bfe12bb6</t>
  </si>
  <si>
    <t>058ee7f5-9324-41ed-b3e6-0ccbd72f260b</t>
  </si>
  <si>
    <t>ef4fe279-6de1-4124-9eea-41c189d0dbc8</t>
  </si>
  <si>
    <t>79a3b56c-ae6d-4c5e-aa03-d93b8f629b1e</t>
  </si>
  <si>
    <t>77b319d4-25f4-40ed-9e01-8f0cabd56e24</t>
  </si>
  <si>
    <t>aa80d220-0456-44bd-ba4f-0c345f3c60c8</t>
  </si>
  <si>
    <t>f03126ec-a7c7-4582-9ffc-dfd102dfd67d</t>
  </si>
  <si>
    <t>19f909ae-fc3f-43fd-b93d-682788a0931c</t>
  </si>
  <si>
    <t>5bb8ee2f-7d9d-49ac-a194-f22e1e4d781d</t>
  </si>
  <si>
    <t>4d79425c-7796-4eef-8df8-392369a8d733</t>
  </si>
  <si>
    <t>1783a0ec-fb58-4100-a77b-9ac8531a7b31</t>
  </si>
  <si>
    <t>f6c6dddc-edbf-43e6-a7ae-912400e623f0</t>
  </si>
  <si>
    <t>a28ce209-a87c-4cea-a4b7-6d2216392c12</t>
  </si>
  <si>
    <t>541e0a8d-4c1a-4c2f-9d0e-88cb2a588598</t>
  </si>
  <si>
    <t>2d1266dd-bcc9-49f7-9c3e-1fa514332aeb</t>
  </si>
  <si>
    <t>e40c8840-c2a2-4c41-ac39-ffc290213cc0</t>
  </si>
  <si>
    <t>a00e49fb-2959-48e0-9f88-5bd23437dec6</t>
  </si>
  <si>
    <t>4c32fafe-80fe-4f8b-bfa1-dfadeefb7cfe</t>
  </si>
  <si>
    <t>5989f652-141a-4b5d-bdd1-ff327440a27a</t>
  </si>
  <si>
    <t>0f3fa54a-c402-47b4-83f5-61e841b80515</t>
  </si>
  <si>
    <t>Micaela Salis</t>
  </si>
  <si>
    <t>78ddce48-2def-47f6-b61c-1479b9d14fd1</t>
  </si>
  <si>
    <t>b7bc7302-98ce-4071-9356-77a61bc0877e</t>
  </si>
  <si>
    <t>Sterre Prins</t>
  </si>
  <si>
    <t>d7806d29-56ee-411a-ae5f-c1db4aece38e</t>
  </si>
  <si>
    <t>112bdb20-6516-4cb1-a02e-92642709899c</t>
  </si>
  <si>
    <t>29d1505a-ad20-4502-90fc-e0ceb2843791</t>
  </si>
  <si>
    <t>849f2083-769d-4390-998b-2bb595d10008</t>
  </si>
  <si>
    <t>84c403bd-64ba-4d65-9f23-d76f25da8325</t>
  </si>
  <si>
    <t>f54af4f2-9fef-440e-98e2-06ca95922eb0</t>
  </si>
  <si>
    <t>41b63ebe-3348-46c1-8bc4-c78b12aeb5ef</t>
  </si>
  <si>
    <t>1c1c6270-2293-4719-a35b-05de09284524</t>
  </si>
  <si>
    <t>4790a61e-e8f0-4367-8a08-e17c98318e85</t>
  </si>
  <si>
    <t>667a6dc4-c76b-405a-bef7-d81f521cf3cb</t>
  </si>
  <si>
    <t>86c4b854-400b-4610-913a-4ada5b4d282c</t>
  </si>
  <si>
    <t>2b3bc2ea-94ef-4191-a3d0-3bb68ef45d37</t>
  </si>
  <si>
    <t>Liepa Sadbaraite</t>
  </si>
  <si>
    <t>30cbeca2-1c2b-43be-8fe5-121bb68aec74</t>
  </si>
  <si>
    <t>7f3f6de6-e89b-4e3d-891a-609a2b923ec2</t>
  </si>
  <si>
    <t>42d5901c-431f-4489-bce5-67d6b1ee5f7a</t>
  </si>
  <si>
    <t>f229bb54-85a8-40a7-a14e-1917d84ce7ca</t>
  </si>
  <si>
    <t>b57143a8-3ec0-40eb-8055-5a486c142655</t>
  </si>
  <si>
    <t>e2c614a8-7e48-4deb-9d2f-677dafaf6be2</t>
  </si>
  <si>
    <t>44e13f3e-1ae1-4ce6-84e9-5e24f43a2816</t>
  </si>
  <si>
    <t>Maluba Loew</t>
  </si>
  <si>
    <t>Maluba Löw</t>
  </si>
  <si>
    <t>6b1c9306-6587-4966-9336-a0a52626a153</t>
  </si>
  <si>
    <t>d4f27501-d130-4fe4-9d53-367f35707ba8</t>
  </si>
  <si>
    <t>28603af3-5734-4a26-bcb9-9b65312c334d</t>
  </si>
  <si>
    <t>cae28949-9ad8-4472-9e53-ae8215bb84fc</t>
  </si>
  <si>
    <t>f49a71cb-b41b-458a-95f3-a9232658e9be</t>
  </si>
  <si>
    <t>0a0780e5-8e29-41f3-b52e-9527b486e780</t>
  </si>
  <si>
    <t>Tullis Burrows</t>
  </si>
  <si>
    <t>be60edb6-4866-4705-a9c4-22d7e62d45af</t>
  </si>
  <si>
    <t>ec0e6912-d4bb-4144-b109-fc6cddf5d4e3</t>
  </si>
  <si>
    <t>3bf66688-0258-4d36-8e1d-59171c43e069</t>
  </si>
  <si>
    <t>a13ed98f-61fd-452a-b4f7-ddc9f3b557a5</t>
  </si>
  <si>
    <t>Dara Arsenova</t>
  </si>
  <si>
    <t>013cb638-e98a-4ee4-a021-678676df0c75</t>
  </si>
  <si>
    <t>713358c2-4907-4be4-988b-a002829eabd5</t>
  </si>
  <si>
    <t>ebfdc7b0-9152-4808-b101-78a371c42e51</t>
  </si>
  <si>
    <t>a8d9201c-c2c6-4487-90d8-c9ce49566470</t>
  </si>
  <si>
    <t>5dbb754d-b1c5-4fa6-978f-d13f6d70bb94</t>
  </si>
  <si>
    <t>d8d0394a-6ee0-4f97-87fd-0aefc1692cb4</t>
  </si>
  <si>
    <t>c0639358-db4b-4c3c-af50-e52a6f83c6fb</t>
  </si>
  <si>
    <t>376dfe8f-3254-43a1-8288-8c0833f91f17</t>
  </si>
  <si>
    <t>Ema Derganc</t>
  </si>
  <si>
    <t>41a3a059-6f9d-4751-b133-e50b1d9b42dc</t>
  </si>
  <si>
    <t>33d55910-8390-4f90-b346-610efc61d6d3</t>
  </si>
  <si>
    <t>76341bb6-ff9d-496d-a16b-145497c8bc3f</t>
  </si>
  <si>
    <t>681cb8dd-d7cb-49eb-9e2d-721b25b8c56c</t>
  </si>
  <si>
    <t>f5f7c68f-dc55-427e-bbcb-f7a08a4b8e8d</t>
  </si>
  <si>
    <t>Emma Torberger</t>
  </si>
  <si>
    <t>d32556f4-28aa-4756-847a-ad77d338a29b</t>
  </si>
  <si>
    <t>dc821f85-ac20-4382-b69f-258b2241bb6f</t>
  </si>
  <si>
    <t>43cb812a-fe2b-4ac4-a5a3-3e92a56d2ace</t>
  </si>
  <si>
    <t>c75706da-6f41-4238-ac9c-7f6dce0c0981</t>
  </si>
  <si>
    <t>669629ca-d7fd-417b-9bf7-2ce1c667deac</t>
  </si>
  <si>
    <t>33cf5241-788d-42d1-9e05-2f4bd25ea507</t>
  </si>
  <si>
    <t>607f2c6a-b390-4ed5-800c-6dedf12076b9</t>
  </si>
  <si>
    <t>8cfa634b-a1a9-425e-b2dc-979514cfd2ed</t>
  </si>
  <si>
    <t>04634900-1763-4690-8a85-20c6607eb0e0</t>
  </si>
  <si>
    <t>7477b1d7-25cf-4196-8d98-41ef3d79a9e0</t>
  </si>
  <si>
    <t>Fien Jansen</t>
  </si>
  <si>
    <t>800df2af-ee89-402c-b20f-ec9a73fcb114</t>
  </si>
  <si>
    <t>c823d746-963e-4bc4-a6e2-ab98697ee1c8</t>
  </si>
  <si>
    <t>Name: Stripe Technology Europe Ltd Description: Study Association I6D1D0 IBAN: DK8789000000014387 Value date: 17/11/2025</t>
  </si>
  <si>
    <t>See_Cashbook_Wix</t>
  </si>
  <si>
    <t>Name: Stripe Technology Europe Ltd Description: Study Association J0C3R3 IBAN: DK8789000000014387 Value date: 18/11/2025</t>
  </si>
  <si>
    <t>Name: Stripe Technology Europe Ltd Description: Study Association O7Q4T6 IBAN: DK8789000000014387 Value date: 19/11/2025</t>
  </si>
  <si>
    <t>Name: Stripe Technology Europe Ltd Description: Study Association H7S6I2 IBAN: DK8789000000014387 Value date: 20/11/2025</t>
  </si>
  <si>
    <t>Name: Stripe Technology Europe Ltd Description: Study Association B8N3W6 IBAN: DK8789000000014387 Value date: 21/11/2025</t>
  </si>
  <si>
    <t>Name: TransIP B.V. Description: FACTUUR F0000.2511.0011.7580 IBAN: NL85INGB0654416265 Reference: E2E-ID-NL-231113257 Mandate ID: MANDATE-NL-200315305-1 Creditor ID: NL39ZZZ243458990000 Recurrent SEPA direct debit Value date: 24/11/2025</t>
  </si>
  <si>
    <t>UNIVERSITEIT VAN AMSTERDAM</t>
  </si>
  <si>
    <t>NL48DEUT0444042342</t>
  </si>
  <si>
    <t>Name: UNIVERSITEIT VAN AMSTERDAM Description: /INV/20251109-001 IBAN: NL48DEUT0444042342 Reference: 2001647461 Value date: 25/11/2025</t>
  </si>
  <si>
    <t>Factuurnr. 2350503473 Betreft IBAN: NL51INGB0006734394 Periode: 01-10-2025 / 31-10-2025 Value date: 26/11/2025</t>
  </si>
  <si>
    <t>Videt Visser</t>
  </si>
  <si>
    <t>NL76ABNA0818921692</t>
  </si>
  <si>
    <t>Name: Videt Visser Description: PT - Transition and Intro - DJ IBAN: NL76ABNA0818921692 Value date: 02/12/2025</t>
  </si>
  <si>
    <t>To Zakelijke oranje spaarrekening M85945251 Lustrum fund contribution 2024/2025 Value date: 02/12/2025</t>
  </si>
  <si>
    <t>To Zakelijke oranje spaarrekening L10080095 Curreny to baseline for handover 2025 Value date: 02/12/2025</t>
  </si>
  <si>
    <t>MBA Stremmler</t>
  </si>
  <si>
    <t>NL29RABO0322539374</t>
  </si>
  <si>
    <t>Name: MBA Stremmler Description: PT - Around the World - Decorations IBAN: NL29RABO0322539374 Value date: 02/12/2025</t>
  </si>
  <si>
    <t>Name: Luka Traveller Description: SP - Foosball - Drinks and Snacks IBAN: LT113250012791633244 Value date: 02/12/2025</t>
  </si>
  <si>
    <t>Name: Olaf Scheepers Description: BE - GA - Pizza IBAN: NL08ASNB0706948270 Value date: 02/12/2025</t>
  </si>
  <si>
    <t>Sophia Kathryn Bitner</t>
  </si>
  <si>
    <t>NL05INGB0108931900</t>
  </si>
  <si>
    <t>Name: Sophia Kathryn Bitner Description: BG - Newsletter Costs IBAN: NL05INGB0108931900 Value date: 02/12/2025</t>
  </si>
  <si>
    <t>Lieve van der Stel</t>
  </si>
  <si>
    <t>NL21INGB0683908618</t>
  </si>
  <si>
    <t>Name: Lieve van der Stel Description: BG - First AID IBAN: NL21INGB0683908618 Value date: 02/12/2025</t>
  </si>
  <si>
    <t xml:space="preserve">Buurman de With B V </t>
  </si>
  <si>
    <t>NL44INGB0008655120</t>
  </si>
  <si>
    <t>Name: Buurman de With B V Description: BE - COBO 2025 IBAN: NL44INGB0008655120 Value date: 02/12/2025</t>
  </si>
  <si>
    <t>Lisanna Tonne</t>
  </si>
  <si>
    <t>NL40INGB0112429866</t>
  </si>
  <si>
    <t>Name: Lisanna Tonne Description: BE - Committee presentation IBAN: NL40INGB0112429866 Value date: 02/12/2025</t>
  </si>
  <si>
    <t xml:space="preserve">Hard Rock Cafe Amsterdam B V </t>
  </si>
  <si>
    <t>NL33ABNA0501363866</t>
  </si>
  <si>
    <t>Name: Hard Rock Cafe Amsterdam B V Description: BE - Member Appreciation - Pub Quiz IBAN: NL33ABNA0501363866 Value date: 02/12/2025</t>
  </si>
  <si>
    <t>Name: Stripe Technology Europe Ltd Description: Study Association Y9F7G3 IBAN: DK8789000000014387 Value date: 05/12/2025</t>
  </si>
  <si>
    <t>470246f1-5337-4aae-9d68-0ba84a1eadd0</t>
  </si>
  <si>
    <t>16d04eec-9364-46e5-a17d-c900d99239ac</t>
  </si>
  <si>
    <t>3567ee3e-fb5f-4754-acef-320c5e2cda08</t>
  </si>
  <si>
    <t>Paul Bernard</t>
  </si>
  <si>
    <t>Bernard Paul</t>
  </si>
  <si>
    <t>372d7abb-ac4b-4f10-b2ec-9696976a8589</t>
  </si>
  <si>
    <t>286613d1-edb5-456c-ae76-c9af47facc9a</t>
  </si>
  <si>
    <t>745d16aa-c263-4cbe-95e3-721cf1a81084</t>
  </si>
  <si>
    <t>6e7d7983-5a32-41c7-b8f4-2fef682efb10</t>
  </si>
  <si>
    <t>Millie eastaugh-waring</t>
  </si>
  <si>
    <t>9d951276-496d-406b-9aed-1cd74989d760</t>
  </si>
  <si>
    <t>972d509a-83cc-4609-8197-f4f1cee5cda9</t>
  </si>
  <si>
    <t>Gabrielle Lambert</t>
  </si>
  <si>
    <t>979c6a4d-0679-4481-9ab1-931c29b3a7d8</t>
  </si>
  <si>
    <t>ba0c88bd-1111-400a-9392-e2bd5bd6b2dc</t>
  </si>
  <si>
    <t>cc7b653e-7538-49b3-9278-81ec2ecaa2bf</t>
  </si>
  <si>
    <t>bf4a26bb-738b-4568-a881-ae59c7993ea3</t>
  </si>
  <si>
    <t>01be00b7-421b-4bf2-885c-dfdcea5c97eb</t>
  </si>
  <si>
    <t>869acacd-8a9f-4b6a-8554-db301682b34b</t>
  </si>
  <si>
    <t>a747604f-121d-4716-a1a7-2eeb46c5ead9</t>
  </si>
  <si>
    <t>27ffdfd7-73cf-455a-95e4-2faae5737f39</t>
  </si>
  <si>
    <t>4199fdad-e7e6-4ab2-a49a-3dbc7e283f73</t>
  </si>
  <si>
    <t>a2dae1ed-487d-40cc-85e5-fee285f9dce8</t>
  </si>
  <si>
    <t>€12.30</t>
  </si>
  <si>
    <t>€0.83</t>
  </si>
  <si>
    <t>€11.47</t>
  </si>
  <si>
    <t>6a9e2636-8de0-4dda-a06d-dd6575a3cfb8</t>
  </si>
  <si>
    <t>5f69d957-ae70-42f1-9be1-3a961f4484bf</t>
  </si>
  <si>
    <t>b4ce0f72-d1f2-441d-a23d-0366437a8857</t>
  </si>
  <si>
    <t>0381567d-6be5-4445-afc0-0c0b0472a78d</t>
  </si>
  <si>
    <t>4175179a-a470-493c-b990-7b107ab2e892</t>
  </si>
  <si>
    <t>Lucas Hubert Lehmann</t>
  </si>
  <si>
    <t>df2b18fd-5ae5-4096-ae64-54df0e22be9c</t>
  </si>
  <si>
    <t>e6d0aa98-c7f8-40bd-bad5-325db118a988</t>
  </si>
  <si>
    <t>Kierat Kierat</t>
  </si>
  <si>
    <t>cc51fb21-b597-4ef2-b625-da468b7b16aa</t>
  </si>
  <si>
    <t>c45cc456-5558-4b81-a693-c74cb3146e70</t>
  </si>
  <si>
    <t>9a223358-f204-4e21-99c4-5f58b2439f5f</t>
  </si>
  <si>
    <t>1bf87ef7-413e-4bec-bd54-c828612c7d11</t>
  </si>
  <si>
    <t>c00a1c64-0d17-4aef-b0a6-87bbebe74e98</t>
  </si>
  <si>
    <t>79a095b3-3f40-4389-ac1d-5453446a7491</t>
  </si>
  <si>
    <t>23417a2c-b178-4cf7-9b38-616c262822c9</t>
  </si>
  <si>
    <t>6aade290-054e-41d2-ae9b-221029b137f0</t>
  </si>
  <si>
    <t>75e2a160-0056-4e55-bf92-ceee1a16379d</t>
  </si>
  <si>
    <t>b7186768-bf85-45a8-8ba1-0c89b7b6583f</t>
  </si>
  <si>
    <t>0e97138d-c66d-4287-ac80-ddd4a0eb8925</t>
  </si>
  <si>
    <t>4083abb8-84b1-4745-8042-6dd8d5f8381e</t>
  </si>
  <si>
    <t>163d7da3-1dca-4cdf-9040-5b194323edf1</t>
  </si>
  <si>
    <t>ceb81f09-a412-4186-ad09-bed0303c786e</t>
  </si>
  <si>
    <t>51dd5ee1-d0f2-4fa0-9472-1707aad19104</t>
  </si>
  <si>
    <t>80054e70-26d8-49a2-9a52-d65c4cdfee4f</t>
  </si>
  <si>
    <t>Simon Kiel</t>
  </si>
  <si>
    <t>€10.25</t>
  </si>
  <si>
    <t>€0.74</t>
  </si>
  <si>
    <t>€9.51</t>
  </si>
  <si>
    <t>9af75fd7-9345-4ead-84bd-c80800b3ae25</t>
  </si>
  <si>
    <t>3cda7814-1bbe-4295-8f7e-999e0b3468c7</t>
  </si>
  <si>
    <t>f64a0409-f653-4e1d-8185-b3387de95e5c</t>
  </si>
  <si>
    <t>Tatiana Cimbir</t>
  </si>
  <si>
    <t>c74dee23-4d84-41cf-a5be-1acb7990a0fa</t>
  </si>
  <si>
    <t>c2159a02-8b3b-47ea-9bda-e1bfe844dd9f</t>
  </si>
  <si>
    <t>63cd7109-ad33-4a46-9121-0cd7e8801396</t>
  </si>
  <si>
    <t>c8116f04-4cf1-4dfc-b66e-9ebc473b6fb5</t>
  </si>
  <si>
    <t>Emīlija Kļaviņa</t>
  </si>
  <si>
    <t>Liga Klavina</t>
  </si>
  <si>
    <t>1898492c-08fc-4e28-97d7-a3239051fe56</t>
  </si>
  <si>
    <t>ec76dcb1-cb8b-4edb-b56b-ed556ffacaf4</t>
  </si>
  <si>
    <t>f978501b-e0eb-40d4-9a77-c0a09e6dfd15</t>
  </si>
  <si>
    <t>cb156892-74ca-4d28-bddb-fd845859ba62</t>
  </si>
  <si>
    <t>Tobias von Ahlefeld</t>
  </si>
  <si>
    <t>02d2d8d7-7a6e-4c5d-96a5-d1f580644b03</t>
  </si>
  <si>
    <t>b2361a6a-dd2d-4196-99a6-945ece4ec50b</t>
  </si>
  <si>
    <t>Marion PINAUD</t>
  </si>
  <si>
    <t>c3d920e7-6bfb-46c8-aba4-5b706f04e08e</t>
  </si>
  <si>
    <t>15dadb4f-75c2-480d-b395-6f6164104978</t>
  </si>
  <si>
    <t>ebe0a90b-b095-45f9-9998-e2537403e38c</t>
  </si>
  <si>
    <t>0f24521e-7661-4c84-b922-b235e635e7d2</t>
  </si>
  <si>
    <t>f57ed2bd-99a6-4c25-910b-84ff0629d97b</t>
  </si>
  <si>
    <t>d1f7a4d1-678a-4e4d-bfc0-5d03af85cab5</t>
  </si>
  <si>
    <t>Maya Morcan</t>
  </si>
  <si>
    <t>fa4ed36f-405a-4464-95e9-45ba6201f9e3</t>
  </si>
  <si>
    <t>68e85b3b-c522-45a0-99b3-c9280438a490</t>
  </si>
  <si>
    <t>Linda Jaschik</t>
  </si>
  <si>
    <t>€13.33</t>
  </si>
  <si>
    <t>€0.96</t>
  </si>
  <si>
    <t>€12.37</t>
  </si>
  <si>
    <t>00793b02-c687-47af-879f-54221716727f</t>
  </si>
  <si>
    <t>27212641-2ae1-426b-b48e-d071304c3083</t>
  </si>
  <si>
    <t>Tan Fei</t>
  </si>
  <si>
    <t>€0.88</t>
  </si>
  <si>
    <t>€12.45</t>
  </si>
  <si>
    <t>c1d781b1-b639-4f9b-8cbe-da13edc5ff82</t>
  </si>
  <si>
    <t>48ab31ad-57b5-4328-b18f-c6b784e86bda</t>
  </si>
  <si>
    <t>ccf9b988-743a-47e0-b2d7-0fa3e1119691</t>
  </si>
  <si>
    <t>85c694d1-05b9-4c81-b9e0-d4bd483f5c8f</t>
  </si>
  <si>
    <t>e649408f-5b8b-4af0-be9d-a10a3e71a526</t>
  </si>
  <si>
    <t>212971e9-027f-4f82-9a51-7b53ed521a53</t>
  </si>
  <si>
    <t>Nuria Stojkovski</t>
  </si>
  <si>
    <t>523f010a-7f1b-4ad9-a426-e9da22c4e380</t>
  </si>
  <si>
    <t>80d40b2c-102e-45f1-9f50-836b98f1323e</t>
  </si>
  <si>
    <t>0ceb7351-5ff1-4fc9-b3f6-bbd1db81d82c</t>
  </si>
  <si>
    <t>6b53c2dc-2365-41ac-afd6-493dba0e15e1</t>
  </si>
  <si>
    <t>DURU AKAY</t>
  </si>
  <si>
    <t>1eee8ae2-0e09-4c4b-a5c2-9dd64c7d2fd4</t>
  </si>
  <si>
    <t>73f786a8-7e2c-4a99-b2e2-d5afcceb0cd4</t>
  </si>
  <si>
    <t>cf527334-4f27-4292-a1c3-482f26ee8687</t>
  </si>
  <si>
    <t>e649b883-5309-42f7-abfa-7efe65cf63e0</t>
  </si>
  <si>
    <t>79e258fb-27b0-403a-8c95-e198bb9dc8b2</t>
  </si>
  <si>
    <t>12457f26-d7e4-4ac4-9216-62b1096ad3dd</t>
  </si>
  <si>
    <t>e2815b6e-75bc-4b17-8a79-a69f6a7ee1fb</t>
  </si>
  <si>
    <t>b65fb26c-5cbc-4c82-96f7-b6f87a519bd9</t>
  </si>
  <si>
    <t>7389a2d3-6568-493f-ba1a-3fddd50e231f</t>
  </si>
  <si>
    <t>1106d633-5bee-4c11-849c-376d8b73d89c</t>
  </si>
  <si>
    <t>000fc5a6-37d5-4952-bda1-46b1e39d50c5</t>
  </si>
  <si>
    <t>7b3990ad-2a37-4eb5-afa5-3d544c9d5f4e</t>
  </si>
  <si>
    <t>f87c518a-49f1-481b-bc73-9a59ad01dd57</t>
  </si>
  <si>
    <t>f7db4fbe-be85-49f0-8aef-fccefeae7e02</t>
  </si>
  <si>
    <t>€0.80</t>
  </si>
  <si>
    <t>€9.45</t>
  </si>
  <si>
    <t>97bebf2b-f544-49c1-a373-68a2c70fdba1</t>
  </si>
  <si>
    <t>b9fe158c-4fc9-475a-888f-2b6e9f6e30c5</t>
  </si>
  <si>
    <t>77b4a892-f222-46d8-a152-e63ac38415c3</t>
  </si>
  <si>
    <t>f80c4edf-4f10-447a-b243-e01a3d706ee9</t>
  </si>
  <si>
    <t>56549a47-a254-41ff-b5d4-0a634235143a</t>
  </si>
  <si>
    <t>a2fa27bb-0243-446b-8584-b973f66d9363</t>
  </si>
  <si>
    <t>8e060cd5-bf6c-41a3-a7ed-ae758e2f9ba1</t>
  </si>
  <si>
    <t>16d7d33f-e3e4-4205-b9a6-3968ddb4cd2a</t>
  </si>
  <si>
    <t>a04a05b4-3eb6-4807-95db-df56762bf416</t>
  </si>
  <si>
    <t>f559048a-2930-4bc8-a4ef-53b9004dbb15</t>
  </si>
  <si>
    <t>df1e7b6f-7114-4bf8-8f23-3ea819fe907f</t>
  </si>
  <si>
    <t>c35f59aa-21c8-4033-99e9-617bfd396975</t>
  </si>
  <si>
    <t>Karlijn Seijsener</t>
  </si>
  <si>
    <t>a5d5a7a9-f955-4c17-a927-1b651506d7c0</t>
  </si>
  <si>
    <t>507181e8-aa0c-4e58-a2d4-cd76254219e8</t>
  </si>
  <si>
    <t>1f178ff6-e131-4d76-9aa7-15ed7c8f3f73</t>
  </si>
  <si>
    <t>4b283bb2-3682-408c-9a50-f460bbeb249b</t>
  </si>
  <si>
    <t>2d6f3d7c-14da-4a0b-9fc3-c6bf1070fedd</t>
  </si>
  <si>
    <t>33da234b-dbaf-4995-bb75-4b9e2a874363</t>
  </si>
  <si>
    <t>d0540c74-1b28-47e4-8e80-8d83b69f4f47</t>
  </si>
  <si>
    <t>dd1d1151-2034-49d8-b52f-85f5558a5703</t>
  </si>
  <si>
    <t>2c7def1a-8f39-4933-a368-d24ac5a6526d</t>
  </si>
  <si>
    <t>bbee3ad1-de03-4dbb-9d5f-af4e066bbeb8</t>
  </si>
  <si>
    <t>Mandisa Mathew</t>
  </si>
  <si>
    <t>1e6e244e-a4b2-4abb-87e2-5864f38730aa</t>
  </si>
  <si>
    <t>f999a5dd-3259-4ae1-9ab5-299f635dda2a</t>
  </si>
  <si>
    <t>738d9095-caba-4bca-bcc2-ca7fb2af37d1</t>
  </si>
  <si>
    <t>563f7029-e515-4363-92ff-76d0a3c6f922</t>
  </si>
  <si>
    <t>5b984156-630c-41f6-b9b0-195a4d95b5c2</t>
  </si>
  <si>
    <t>ca02119d-fdff-4864-87f5-a1b5158cb0e7</t>
  </si>
  <si>
    <t>2a9b841c-036b-42cc-ba2b-6bcd8a62e7b2</t>
  </si>
  <si>
    <t>f0a898d5-7fe6-4747-8593-c3d43d5c0ad2</t>
  </si>
  <si>
    <t>888e5b98-c7f6-44bc-b5f1-0cc89dc0e885</t>
  </si>
  <si>
    <t>3c137ed2-b73d-49ca-bc5d-7f78ad484034</t>
  </si>
  <si>
    <t>€0.86</t>
  </si>
  <si>
    <t>€9.39</t>
  </si>
  <si>
    <t>809b1ab0-3815-4dd4-a0d5-f4d66083e05e</t>
  </si>
  <si>
    <t>e3099dce-f8a4-4d52-aaef-e3d89bf1a577</t>
  </si>
  <si>
    <t>Laura Ponoran</t>
  </si>
  <si>
    <t>3444b620-ebc8-49fe-afff-e232b4edbdc3</t>
  </si>
  <si>
    <t>99c1ea7c-4a3a-4e56-9b19-3ca3c4766786</t>
  </si>
  <si>
    <t>a026595e-6065-4c3a-8d0e-9fc97c56cad0</t>
  </si>
  <si>
    <t>f5923dc3-9edc-42c3-b747-ce443ac75901</t>
  </si>
  <si>
    <t>5e07c62b-4a71-4ef3-a5da-061b377e9da1</t>
  </si>
  <si>
    <t>f6cf7677-a8b4-4cba-87a3-8d2f432baa59</t>
  </si>
  <si>
    <t>Pepijn Franken</t>
  </si>
  <si>
    <t>d0290ebc-731e-4eae-bced-6c8da138da66</t>
  </si>
  <si>
    <t>9d34ce7b-5d6d-403d-b393-547febc436a8</t>
  </si>
  <si>
    <t>c848faac-ec07-43a7-8b1a-c0f554957600</t>
  </si>
  <si>
    <t>4cd4cae6-8014-4b9f-aa5a-ee380e6fb44b</t>
  </si>
  <si>
    <t>7493ec11-7fc2-4a63-aefe-5a7522077561</t>
  </si>
  <si>
    <t>eb4ad290-ef89-4f72-93a3-f4ea011c66da</t>
  </si>
  <si>
    <t>eaacd6db-19a6-4712-af81-d3ac278ebea5</t>
  </si>
  <si>
    <t>bceeb962-afec-4476-8d62-be34a67a883a</t>
  </si>
  <si>
    <t>de1cd85b-6c7e-4a5b-b101-62161fd902fc</t>
  </si>
  <si>
    <t>a90f165a-b3ac-41c2-b2a4-5d008c9b2e67</t>
  </si>
  <si>
    <t>2a032f0f-bedf-41ec-88c0-1cea23dce82a</t>
  </si>
  <si>
    <t>1c30d52d-4feb-44df-bf28-44efa1bb22a2</t>
  </si>
  <si>
    <t>8cfcf723-38ea-44cc-b400-0c463e60497b</t>
  </si>
  <si>
    <t>399aac52-5a4c-4f5c-aa09-4031f0cac3da</t>
  </si>
  <si>
    <t>2f865a44-a537-47b6-9b76-e1d6d947ca86</t>
  </si>
  <si>
    <t>a44fad45-bc46-4d3d-af92-a75d37d510f4</t>
  </si>
  <si>
    <t>dcbde8db-05f0-477e-8965-2507c63e76a2</t>
  </si>
  <si>
    <t>5f4d202e-ecd0-41f4-95f4-c015180845d2</t>
  </si>
  <si>
    <t>Hugo Cotton</t>
  </si>
  <si>
    <t>db73f8bb-29a4-4f57-9934-6728ca5b32e8</t>
  </si>
  <si>
    <t>11f4ed25-aded-47d7-b2b4-9be91d95947d</t>
  </si>
  <si>
    <t>668f0ac8-7bc1-4ea1-83c5-e7a3461e116b</t>
  </si>
  <si>
    <t>bd357902-dcb2-486f-8f48-c4143cb61545</t>
  </si>
  <si>
    <t>€1.03</t>
  </si>
  <si>
    <t>1774bc8c-e701-416c-be91-e2ad4b71259b</t>
  </si>
  <si>
    <t>2fa4da09-3377-4856-ba28-3bd1c9d2416e</t>
  </si>
  <si>
    <t>40a806d6-4825-4aec-907e-0a3a52b92d3f</t>
  </si>
  <si>
    <t>fe2bc1ed-020c-473c-aee8-81e298389f5d</t>
  </si>
  <si>
    <t>Marit Woertman</t>
  </si>
  <si>
    <t>a81116d0-ca7f-4b8d-92c9-8a1a4e6d1a5e</t>
  </si>
  <si>
    <t>bc24365a-b69c-448f-97fa-54e9c3a425f7</t>
  </si>
  <si>
    <t>Caroline Sharp</t>
  </si>
  <si>
    <t>4c884c57-8a45-471e-8513-90e488dd22b8</t>
  </si>
  <si>
    <t>937043fe-6c5f-4ee3-8901-fd7481ae11fa</t>
  </si>
  <si>
    <t>Trisha Madan</t>
  </si>
  <si>
    <t>843dd405-370a-4263-8ea9-c04c8a5a99e4</t>
  </si>
  <si>
    <t>320130ec-b314-4449-bbab-e8c4a51041ac</t>
  </si>
  <si>
    <t>5ef783f9-b1c0-44e8-9a99-78058cd8c78d</t>
  </si>
  <si>
    <t>d905346f-49f9-4646-9280-e8c0af6763e4</t>
  </si>
  <si>
    <t>fd337ef5-dce9-4db6-90cc-542bc6a7e439</t>
  </si>
  <si>
    <t>2b3ce3f4-843c-4794-8800-0039a4ad7739</t>
  </si>
  <si>
    <t>Lulu Stoter</t>
  </si>
  <si>
    <t>af5eee16-a132-4b0c-9a75-56d182b36b5e</t>
  </si>
  <si>
    <t>109b46a0-3ce5-4143-96be-e7f1cc8c7bae</t>
  </si>
  <si>
    <t>e81e31ef-9911-47b9-bee0-ecad98ebc139</t>
  </si>
  <si>
    <t>4f5137c5-8a49-4814-80c9-e64307239719</t>
  </si>
  <si>
    <t>TC_Bonn_Member</t>
  </si>
  <si>
    <t>TC_Bonn_NonMember</t>
  </si>
  <si>
    <t>b0d4d36c-0509-45d8-b9a3-04b6b0e2bf65</t>
  </si>
  <si>
    <t>3ff763a5-003f-44ad-b8f4-bcf59f9f9462</t>
  </si>
  <si>
    <t>0bf1c19a-f724-4ecd-8d53-65d28fbc6fac</t>
  </si>
  <si>
    <t>51fe300c-d905-4417-88a9-6c0dddbd7834</t>
  </si>
  <si>
    <t>8f7d4edc-fb62-4660-8d38-14892feece3b</t>
  </si>
  <si>
    <t>40746f87-728a-48a2-8396-e7eb52fdfc20</t>
  </si>
  <si>
    <t>7b67f460-9549-4d43-a3d9-4e2e2863bb3f</t>
  </si>
  <si>
    <t>12c4fc11-a38a-4a6d-a961-0f75e6ed03f9</t>
  </si>
  <si>
    <t>44078d9b-99f3-40a1-9b6b-db530ee61f77</t>
  </si>
  <si>
    <t>c0d9d96b-546d-4379-9704-00358ecf26c7</t>
  </si>
  <si>
    <t>e4759b54-7ad9-4c31-8dd4-193ce48f5f2f</t>
  </si>
  <si>
    <t>181efb71-b2bd-4a3f-b5da-e7ccfa7592f9</t>
  </si>
  <si>
    <t>9d52cddc-d2dc-4f93-b622-3c43dbb79a9b</t>
  </si>
  <si>
    <t>e7794175-06fb-4e33-b562-9640a0826db8</t>
  </si>
  <si>
    <t>5bc7ce59-ee88-4535-a823-7b9920f7f360</t>
  </si>
  <si>
    <t>e58195d3-fbe2-43eb-a271-6bbf6ee815a1</t>
  </si>
  <si>
    <t>b3b0b6b8-26f8-4ef6-b742-5322880bb22e</t>
  </si>
  <si>
    <t>Vikte Bartninkaite</t>
  </si>
  <si>
    <t>f3f87100-5c2d-47a7-8f64-12d441ca113f</t>
  </si>
  <si>
    <t>7102ec18-4e72-44e0-b288-1e026669faf8</t>
  </si>
  <si>
    <t>564dd43b-1e21-48b5-bafc-72d4018118f1</t>
  </si>
  <si>
    <t>6781e049-c1f1-407d-83e8-77fc0d921248</t>
  </si>
  <si>
    <t>272efcd8-477e-485f-bcd9-3e7f1615f552</t>
  </si>
  <si>
    <t>e9a543e6-fa2f-4831-a09a-5d3c182fe9b9</t>
  </si>
  <si>
    <t>3a0731f6-b084-4b9d-a621-c90d99644565</t>
  </si>
  <si>
    <t>41e3b9a4-35ad-4964-8806-8b90fb40472b</t>
  </si>
  <si>
    <t>Antonina Smolarek</t>
  </si>
  <si>
    <t>bda5af3f-d614-4602-add3-5ca3d0566793</t>
  </si>
  <si>
    <t>11fa6d28-445d-4ce4-8708-acb68c7990e5</t>
  </si>
  <si>
    <t>christina oh</t>
  </si>
  <si>
    <t>4440dda3-0398-476c-b18f-e861f1cf4850</t>
  </si>
  <si>
    <t>6360bfb1-877e-40d6-b471-9289ebf4d62a</t>
  </si>
  <si>
    <t>Lustrum fund contribution</t>
  </si>
  <si>
    <t>PT_WorldBorrel_Decorations</t>
  </si>
  <si>
    <t>SP_Foosball_Snacks</t>
  </si>
  <si>
    <t>BE_COBO2025</t>
  </si>
  <si>
    <t>6cf6407b-763b-40fc-b357-527d3b17d7f7</t>
  </si>
  <si>
    <t>832bfda9-5c70-41ce-83e9-e99cd245fe5e</t>
  </si>
  <si>
    <t>b993006a-45e0-45fd-95af-1856cbe59956</t>
  </si>
  <si>
    <t>Isa Mavie Schrader</t>
  </si>
  <si>
    <t>53aaef84-c3bf-40a8-963e-675ce53dee72</t>
  </si>
  <si>
    <t>f945c55d-30db-4e4a-b8f0-d682f8547d26</t>
  </si>
  <si>
    <t>Nick Gerlach</t>
  </si>
  <si>
    <t>a4fa6723-8165-49dd-99e3-391353172be3</t>
  </si>
  <si>
    <t>b77ec53a-46e9-46be-8491-624c3ec585e8</t>
  </si>
  <si>
    <t>f3df8133-a0f9-4568-93bb-e4667a5f3418</t>
  </si>
  <si>
    <t>943282b3-adcf-41ae-8612-9a51682798b4</t>
  </si>
  <si>
    <t>58363083-f8f7-423b-a433-b75691f01e93</t>
  </si>
  <si>
    <t>3d1c7e4a-7f0e-4177-96c1-29f5f091c835</t>
  </si>
  <si>
    <t>b257ec2b-265a-477c-969f-833c4d3ec90f</t>
  </si>
  <si>
    <t>a9724eb3-b5ef-4356-a4e5-0b51771670a2</t>
  </si>
  <si>
    <t>NL10ABNA0146750322</t>
  </si>
  <si>
    <t>Name: Francesco Janse Description: AW - Write for Rights - Ingredients IBAN: NL10ABNA0146750322 Value date: 29/01/2026</t>
  </si>
  <si>
    <t>Vladimir Popov</t>
  </si>
  <si>
    <t>NL75INGB0655832645</t>
  </si>
  <si>
    <t>Name: Vladimir Popov Description: BG - Canva cost - Unforseen IBAN: NL75INGB0655832645 Value date: 29/01/2026</t>
  </si>
  <si>
    <t>Ivan Skrabalo</t>
  </si>
  <si>
    <t>BE05363193285775</t>
  </si>
  <si>
    <t>Name: Ivan Skrabalo Description: BG - Wix - Expense IBAN: BE05363193285775 Value date: 29/01/2026</t>
  </si>
  <si>
    <t>Frassen Travelling</t>
  </si>
  <si>
    <t>NL12RABO0351559655</t>
  </si>
  <si>
    <t>Name: Frassen Travelling Description: TC - Bonn - Transport IBAN: NL12RABO0351559655 Value date: 29/01/2026</t>
  </si>
  <si>
    <t>Name: Stripe Technology Europe Ltd Description: Wix Payments Z6F5R8 IBAN: DK8789000000014387 Value date: 29/01/2026</t>
  </si>
  <si>
    <t>Name: Stripe Technology Europe Ltd Description: Wix Payments F6B4X4 IBAN: DK8789000000014387 Value date: 30/01/2026</t>
  </si>
  <si>
    <t>Name: Stripe Technology Europe Ltd Description: Wix Payments I6J5B0 IBAN: DK8789000000014387 Value date: 02/02/2026</t>
  </si>
  <si>
    <t>Name: Stripe Technology Europe Ltd Description: Wix Payments A0V7V8 IBAN: DK8789000000014387 Value date: 03/02/2026</t>
  </si>
  <si>
    <t>Name: Stripe Technology Europe Ltd Description: Wix Payments C5N6C4 IBAN: DK8789000000014387 Value date: 04/02/2026</t>
  </si>
  <si>
    <t xml:space="preserve">Canecao Rio B V </t>
  </si>
  <si>
    <t>NL43ABNA0588166561</t>
  </si>
  <si>
    <t>Name: Canecao Rio B V Description: PT - Casino - Drinks IBAN: NL43ABNA0588166561 Value date: 05/02/2026</t>
  </si>
  <si>
    <t>Name: Wesley Kraan Description: BO - Borrel 1 De Pijp - Tokens IBAN: NL65SNSB0772674604 Value date: 05/02/2026</t>
  </si>
  <si>
    <t>Name: Amira Hertkorn Description: AC - Benno's Book Club - Snacks IBAN: NL85INGB0113607024 Value date: 05/02/2026</t>
  </si>
  <si>
    <t>Name: Hard Rock Cafe Amsterdam B V Description: AC - Drunk Debate - Drink Tokens IBAN: NL33ABNA0501363866 Value date: 05/02/2026</t>
  </si>
  <si>
    <t>Name: Lisanna Tonne Description: PT - Casino Night - Extra Drinks IBAN: NL40INGB0112429866 Value date: 05/02/2026</t>
  </si>
  <si>
    <t>Name: Wesley Kraan Description: BG - Board Room Supplies IBAN: NL65SNSB0772674604 Value date: 05/02/2026</t>
  </si>
  <si>
    <t>St. Christopher's Paris</t>
  </si>
  <si>
    <t>FR7630004008280001211467776</t>
  </si>
  <si>
    <t>Name: St. Christopher's Paris Description: Reference number: 260181098 Location: St Christophers - Paris - Gare du Nord IBAN: FR7630004008280001211467776 Value date: 05/02/2026</t>
  </si>
  <si>
    <t>Name: Stripe Technology Europe Ltd Description: Wix Payments B6U0X8 IBAN: DK8789000000014387 Value date: 05/02/2026</t>
  </si>
  <si>
    <t>Name: Stripe Technology Europe Ltd Description: Wix Payments Z0R2Z8 IBAN: DK8789000000014387 Value date: 06/02/2026</t>
  </si>
  <si>
    <t>ASVA Studentenvakbond</t>
  </si>
  <si>
    <t>NL70TRIO0379637960</t>
  </si>
  <si>
    <t>Name: ASVA Studentenvakbond Description: Contributie leden januari 2026 IBAN: NL70TRIO0379637960 Reference: SEPA-782-14329-798920 Mandate ID: 20230704798920-780 Creditor ID: NL23ZZZ405395960000 Recurrent SEPA direct debit Value date: 06/02/2026</t>
  </si>
  <si>
    <t xml:space="preserve">Christmas Food Donation (Write for Rights) </t>
  </si>
  <si>
    <t>AW_Rights_Snacks</t>
  </si>
  <si>
    <t>TC_Bonn_Transportation</t>
  </si>
  <si>
    <t>Rafael van der Molen</t>
  </si>
  <si>
    <t>2a8d4a45-bff5-4f21-b5b5-c65aa57b5b2a</t>
  </si>
  <si>
    <t>45b75ae9-e8cf-4ffc-b5c1-866ab74220b4</t>
  </si>
  <si>
    <t>9c880ba5-9ae6-4b9e-bb69-64e9b231fcff</t>
  </si>
  <si>
    <t>6a378e73-6d9a-4b55-875c-ca44c5fb2888</t>
  </si>
  <si>
    <t>2bac1085-44db-4fc9-a00f-7a18dac01cb0</t>
  </si>
  <si>
    <t>Kierat Basi</t>
  </si>
  <si>
    <t>€23.00</t>
  </si>
  <si>
    <t>€22.12</t>
  </si>
  <si>
    <t>3a9fb7ce-9751-40f7-80a5-0c63d06e309c</t>
  </si>
  <si>
    <t>f33d0af6-a68f-429e-a2f7-922a126e6ea6</t>
  </si>
  <si>
    <t>cd5c9b68-de7e-4be1-a953-368e5a2515d5</t>
  </si>
  <si>
    <t>6ef4aaf9-ca73-49d1-a90e-19f078c04708</t>
  </si>
  <si>
    <t>BE_Borrel1_Member</t>
  </si>
  <si>
    <t>69ff0e38-ae47-497b-b278-138cd355303f</t>
  </si>
  <si>
    <t>056c5a07-9e5b-4897-af99-0df112119c60</t>
  </si>
  <si>
    <t>7589a415-e73c-43ee-a8e3-4461708fd7d0</t>
  </si>
  <si>
    <t>4b707c84-c9e9-40b6-a4e2-42681f93c19b</t>
  </si>
  <si>
    <t>7b0c77c6-3aab-4e93-9595-7c95f9f2203b</t>
  </si>
  <si>
    <t>Soňa Hutňanová</t>
  </si>
  <si>
    <t>a7e65b71-1b21-4c2f-a84f-19c4ee2bdfa3</t>
  </si>
  <si>
    <t>1b8aa198-713f-4b6b-a755-12e59119fa10</t>
  </si>
  <si>
    <t>daa2411e-378b-4fc7-92e6-45dbf7956479</t>
  </si>
  <si>
    <t>Luca Leue</t>
  </si>
  <si>
    <t>Luca Paolo Leue</t>
  </si>
  <si>
    <t>a24519e7-35a4-4728-b44c-d04fc2d9cde5</t>
  </si>
  <si>
    <t>774a51bd-a65b-41da-aeb2-47ea8c2f3791</t>
  </si>
  <si>
    <t>7ac71e5f-0386-4116-8f7f-fcf9ff07bc29</t>
  </si>
  <si>
    <t>Carla Gesell</t>
  </si>
  <si>
    <t>a0f522ea-4406-4db8-a393-be90cf3fa6fe</t>
  </si>
  <si>
    <t>44e51220-7716-4717-8acb-f7f9d29343c3</t>
  </si>
  <si>
    <t>Maya Jacobowitz</t>
  </si>
  <si>
    <t>c66fa310-97d6-47ba-8085-9f02d471dfad</t>
  </si>
  <si>
    <t>3938dddc-0e87-4a34-a5e5-ba01110fb1c6</t>
  </si>
  <si>
    <t>Macayla Rautenbach</t>
  </si>
  <si>
    <t>52abdcf4-3b4c-44d1-948d-9d936979dbf0</t>
  </si>
  <si>
    <t>57f5beda-7f98-4996-94d8-b6095802fb10</t>
  </si>
  <si>
    <t>2e650646-88fb-4fcf-a823-36c32e393d8a</t>
  </si>
  <si>
    <t>553d1af9-d22a-40f9-ba75-2ac179ef6d28</t>
  </si>
  <si>
    <t>29dee403-cbef-41ef-897a-49a7be0730c3</t>
  </si>
  <si>
    <t>d80db9ca-0dc9-4cec-a37f-ac8c6faab44a</t>
  </si>
  <si>
    <t>3d4db60e-df2e-41ea-9e69-6ee2e50afc7a</t>
  </si>
  <si>
    <t>38a0eddd-f93b-4483-8915-ae24b6db3d3b</t>
  </si>
  <si>
    <t>b027e40a-8a3b-49e8-b6e2-f78ebf15639b</t>
  </si>
  <si>
    <t>d0f04fb4-7be2-470b-805b-0ee86e152e98</t>
  </si>
  <si>
    <t>6da2f7fd-8dad-4359-8444-b2c496e2060b</t>
  </si>
  <si>
    <t>d7edc203-a230-4fee-b3bd-cd94042a94a5</t>
  </si>
  <si>
    <t>62b40c1b-a49f-41ff-9555-0910b5a3be9c</t>
  </si>
  <si>
    <t>3d64e51f-86f0-4315-934f-0d4aa95501bf</t>
  </si>
  <si>
    <t>9701e916-7c08-4a39-b658-1cca97832ecb</t>
  </si>
  <si>
    <t>e25f2f5a-7a2b-493a-b168-e00f9d2ffccc</t>
  </si>
  <si>
    <t>Sofia Brunetti</t>
  </si>
  <si>
    <t>7562fce2-c725-4db0-b0ef-53e6f301adda</t>
  </si>
  <si>
    <t>0adc0acd-d912-434a-b03c-412bbf1878a2</t>
  </si>
  <si>
    <t>484af867-e0ae-478b-9565-d73f3d2628d2</t>
  </si>
  <si>
    <t>8e4842a9-d49d-40d7-9752-62d16471516d</t>
  </si>
  <si>
    <t>Haroun Borgers</t>
  </si>
  <si>
    <t>8ea62b62-49f7-4366-9ba6-a4b80f7ef652</t>
  </si>
  <si>
    <t>31c0e9c1-98df-4976-b515-1f530bfb25be</t>
  </si>
  <si>
    <t>28832a98-0130-4719-9e29-141459c3a07a</t>
  </si>
  <si>
    <t>ba1b4a08-1cdb-4417-aaaa-e445ebd58d4f</t>
  </si>
  <si>
    <t>084c97ae-7832-432b-905f-7e82f10c0151</t>
  </si>
  <si>
    <t>90b20035-fb7b-40f2-a5db-cff10c814390</t>
  </si>
  <si>
    <t>Ash S</t>
  </si>
  <si>
    <t>686ac5ea-95ba-47ea-8e76-69cb8dedb449</t>
  </si>
  <si>
    <t>0e26efa9-6ca6-4abc-b255-255c82828bcc</t>
  </si>
  <si>
    <t>d3ed2ca3-f05f-4f95-a515-f2d01f8b29b6</t>
  </si>
  <si>
    <t>226b169a-e238-4715-83d2-8a029a39830e</t>
  </si>
  <si>
    <t>Joey de Haas</t>
  </si>
  <si>
    <t>786b90a2-a4e6-4cb2-a378-7219b86f2793</t>
  </si>
  <si>
    <t>53e814ac-0fb4-4ee7-ab9d-1881bbc41c6b</t>
  </si>
  <si>
    <t>2dd1874e-2145-4db1-90ad-b9e0046eed6b</t>
  </si>
  <si>
    <t>3c0bc96e-5f5b-44aa-a7c3-4b5993989e15</t>
  </si>
  <si>
    <t>4b7c18b8-a9c1-4f05-871d-f5db27f78588</t>
  </si>
  <si>
    <t>804bcd68-2bf7-4e50-9f49-20cd686cf0b5</t>
  </si>
  <si>
    <t>BE_Borrel1_NonMember</t>
  </si>
  <si>
    <t>b9bc0ede-98a8-44de-92f5-eb83019c7378</t>
  </si>
  <si>
    <t>3de27910-30a2-4347-a4f9-661c4786f2c8</t>
  </si>
  <si>
    <t>36b344b3-3e47-4683-bbe6-cdaae3c39e27</t>
  </si>
  <si>
    <t>603bb4a6-dec2-4694-85a2-99d1c0c44f73</t>
  </si>
  <si>
    <t>e24550c2-e2fb-4bb5-8141-1acfe6e91e94</t>
  </si>
  <si>
    <t>006b2b31-ac81-46ef-b7e0-f4081d49c5df</t>
  </si>
  <si>
    <t>90e2758e-2268-4819-bdee-94f9a8bc4ba9</t>
  </si>
  <si>
    <t>2c83c5a5-4580-4855-be3d-69b7bc170d14</t>
  </si>
  <si>
    <t>41d18cfb-8422-4e46-8b6d-f0c2a8a8c095</t>
  </si>
  <si>
    <t>Moritz Ries</t>
  </si>
  <si>
    <t>f2761804-0e0c-4587-8db9-9aa4f9d206fa</t>
  </si>
  <si>
    <t>535dff94-f20f-41e8-b1aa-7bd735e0990d</t>
  </si>
  <si>
    <t>Hanna Schmidt</t>
  </si>
  <si>
    <t>66867894-423f-4aa9-830f-d5b1e3cb0059</t>
  </si>
  <si>
    <t>1fe439e4-7845-48ef-868f-8337d40b2c8a</t>
  </si>
  <si>
    <t>PT_Casino_Drinks</t>
  </si>
  <si>
    <t>BE_Borrel1_Drinks</t>
  </si>
  <si>
    <t>AC_BennosBookClub_Snacks</t>
  </si>
  <si>
    <t>PT_Transition_DJ</t>
  </si>
  <si>
    <t>TC_Paris_Accomodation</t>
  </si>
  <si>
    <t>Victoria Ionova</t>
  </si>
  <si>
    <t>50908991-812f-44d8-9eb0-09bc0c4ce9d2</t>
  </si>
  <si>
    <t>58313e26-8660-4ce9-b07b-d60ec06f7b9d</t>
  </si>
  <si>
    <t>3c473f05-b6b9-4277-87af-dce9751041ef</t>
  </si>
  <si>
    <t>1eaecbba-58d2-4fe7-a2b9-dd744438e23d</t>
  </si>
  <si>
    <t>d746fc29-b7a2-47ff-a0d1-5bc7f19d584d</t>
  </si>
  <si>
    <t>fb6e1e56-abf1-465d-8e27-4a7d6f295dd9</t>
  </si>
  <si>
    <t>ae4e6828-b54f-4931-8a34-5891f6f6bd16</t>
  </si>
  <si>
    <t>c6ae0f1d-7c25-4ad7-a8e0-3a7a25e7c372</t>
  </si>
  <si>
    <t>0d4c7bbb-b38a-4186-8856-0d0bf4384ba9</t>
  </si>
  <si>
    <t>f9043caf-65a1-40f1-b22d-e309e7a72a4e</t>
  </si>
  <si>
    <t>9f1f9089-3db2-48f4-99ae-11fc061bd1dc</t>
  </si>
  <si>
    <t>eva figelova</t>
  </si>
  <si>
    <t>89015df4-c897-4069-aced-d4fa3a4db374</t>
  </si>
  <si>
    <t>9db765ca-1ead-45ce-86cb-a205b7f6a623</t>
  </si>
  <si>
    <t>Johannes Hüttner</t>
  </si>
  <si>
    <t>8885784d-28dd-440d-ad48-0a8a7da4526f</t>
  </si>
  <si>
    <t>c6f4498c-3127-49e6-a53a-60caa53d6448</t>
  </si>
  <si>
    <t>Johana Kubištová</t>
  </si>
  <si>
    <t>8e1f44fe-e526-4b7e-b2bc-87b0941f3acc</t>
  </si>
  <si>
    <t>1b703c3a-fa83-4881-b6ca-37305f135b92</t>
  </si>
  <si>
    <t>Flora Hagenberg</t>
  </si>
  <si>
    <t>06810c76-4053-4f4b-87bd-a72239cdfc9d</t>
  </si>
  <si>
    <t>5494db63-2dda-4771-aa8e-871a286442b2</t>
  </si>
  <si>
    <t>e6723cfb-7cd7-4d43-a3ab-a7bdbd66380e</t>
  </si>
  <si>
    <t>Majbritt Stremler</t>
  </si>
  <si>
    <t>e93418dc-c861-49b8-bd70-32342611571e</t>
  </si>
  <si>
    <t>cc192b8e-556a-4c30-9c61-2df7bfe888aa</t>
  </si>
  <si>
    <t>Max Seles</t>
  </si>
  <si>
    <t>e2513699-c3bd-4f52-aaa1-beda99b86576</t>
  </si>
  <si>
    <t>3163e206-b658-4468-8c9d-41b795fb8cbe</t>
  </si>
  <si>
    <t>3595d522-13fc-4435-9471-f4802f5dd73d</t>
  </si>
  <si>
    <t>49fb6097-6c64-4a7d-948c-023d21132f87</t>
  </si>
  <si>
    <t>2249a3e4-912a-4a92-8d66-543d06b402e5</t>
  </si>
  <si>
    <t>16dad8fd-de98-462d-a61a-b198c8332035</t>
  </si>
  <si>
    <t>€7.50</t>
  </si>
  <si>
    <t>5b0b01ab-3691-4761-907e-ddbec19fe644</t>
  </si>
  <si>
    <t>fa598ba2-3fb9-4d8f-8d48-e8934f5d2809</t>
  </si>
  <si>
    <t>19d9df11-6518-4c6e-8c30-67b5a9a4f1c1</t>
  </si>
  <si>
    <t>a8544757-b575-4546-8236-d88e04f45b2d</t>
  </si>
  <si>
    <t>bd5e8655-5ad1-482d-805d-84cbd7f68c95</t>
  </si>
  <si>
    <t>42d127d8-b5cd-4fe9-97f3-cad0022f17c5</t>
  </si>
  <si>
    <t>Wytze Adriaanse</t>
  </si>
  <si>
    <t>da7998cb-4668-49fe-b5ea-d4325b30cc21</t>
  </si>
  <si>
    <t>048804c0-0d8b-4ea8-a1d1-16f9d51da8f4</t>
  </si>
  <si>
    <t>Mor Veira</t>
  </si>
  <si>
    <t>24f8f50c-3b22-4042-b341-0dcda2fae335</t>
  </si>
  <si>
    <t>fb272699-41f4-42f8-a575-3b4ac923732b</t>
  </si>
  <si>
    <t>Mina Mirzai</t>
  </si>
  <si>
    <t>aa5a99e7-e2a2-4f2a-866b-e902e474f6dc</t>
  </si>
  <si>
    <t>5fbaa091-6acd-4d5f-b276-8e2ef5ffcbf9</t>
  </si>
  <si>
    <t>Danial Haider</t>
  </si>
  <si>
    <t>€0.52</t>
  </si>
  <si>
    <t>€3.58</t>
  </si>
  <si>
    <t>762487bb-f56b-4eb6-887f-9d7b21ff71cb</t>
  </si>
  <si>
    <t>d99f6197-bab5-4b97-ba24-4890517333fb</t>
  </si>
  <si>
    <t>Sanne Schofield</t>
  </si>
  <si>
    <t>aa7f76dc-8d5f-4eb4-815d-efb1e9f27e63</t>
  </si>
  <si>
    <t>4c6211e5-49ce-40c6-8ccd-a8280021054c</t>
  </si>
  <si>
    <t>Cyrus Kawesi</t>
  </si>
  <si>
    <t>3331a915-c79f-420b-bd8b-9f5c12d910bc</t>
  </si>
  <si>
    <t>90151f2d-be04-4fe6-9ac7-42510c40ccb0</t>
  </si>
  <si>
    <t>Elbert Stouten</t>
  </si>
  <si>
    <t>34c97c71-c99d-4f4f-a919-8c4fd383807f</t>
  </si>
  <si>
    <t>0ac9045a-579b-4e10-a1ed-53ec9e3148b7</t>
  </si>
  <si>
    <t>93c2c7aa-ab1d-49b0-a0a2-8bcea68667fc</t>
  </si>
  <si>
    <t>1f2ed4c8-1962-4524-bd11-6081b008d957</t>
  </si>
  <si>
    <t>Olivia Lintu</t>
  </si>
  <si>
    <t>4928f8ff-8c58-43be-9c86-d4fe8b154a90</t>
  </si>
  <si>
    <t>8ae1cb15-7750-42e8-a639-1ba94541cdf6</t>
  </si>
  <si>
    <t>Karl Kordes</t>
  </si>
  <si>
    <t>0ca4c410-6bef-4dcc-9d40-fd3719c01cd4</t>
  </si>
  <si>
    <t>2c4a32d9-9006-4ace-b085-796abf060059</t>
  </si>
  <si>
    <t>d51c1c99-a0d1-4441-a34c-2575757182d7</t>
  </si>
  <si>
    <t>ec18bdec-f1a2-44df-9c7a-a0892c2b05f6</t>
  </si>
  <si>
    <t>b2de2a88-5a2b-4708-8391-8a3231d43557</t>
  </si>
  <si>
    <t>ec8e224c-501d-4092-a340-2534134fae7c</t>
  </si>
  <si>
    <t>3d4fc935-2259-430d-b219-0db1b5d3f96e</t>
  </si>
  <si>
    <t>66065b27-c90c-4390-a533-fc573b8353cf</t>
  </si>
  <si>
    <t>cb7a3cc9-7614-4b08-b5bc-55ea3c21b17e</t>
  </si>
  <si>
    <t>40f5fb73-f78c-463a-8ae3-ae1f148d9f0e</t>
  </si>
  <si>
    <t>Lilly Winklee</t>
  </si>
  <si>
    <t xml:space="preserve">Lilly Winkler </t>
  </si>
  <si>
    <t>e38d9347-26bb-4ee4-b94b-a9c32eeff9d9</t>
  </si>
  <si>
    <t>a6d9cf86-159a-4caf-a6db-80f7e52ce92a</t>
  </si>
  <si>
    <t>8ff0ff1b-48a3-4f90-bfff-1be2065f000f</t>
  </si>
  <si>
    <t>af3aa34f-97bd-4258-b5ca-e25328015a80</t>
  </si>
  <si>
    <t>2c43e25d-4594-4ff2-8c44-ec2b94b6eec8</t>
  </si>
  <si>
    <t>7f4c0438-e1c9-4f6a-9eca-b41511b0f37d</t>
  </si>
  <si>
    <t>8f53b30b-b397-4899-b2bd-c6a1edbe6fb3</t>
  </si>
  <si>
    <t>09663339-f1c3-4880-b96b-96e0ca845f63</t>
  </si>
  <si>
    <t>699225d0-642b-478e-aae5-8d997ec70ad0</t>
  </si>
  <si>
    <t>51dac1e1-8d3c-4263-b3ab-774a180971c0</t>
  </si>
  <si>
    <t>0e10370e-3d7c-4a66-ada5-b1ea1f5a89fc</t>
  </si>
  <si>
    <t>f5f2ec9a-286e-40d1-ab1c-37f5f1624364</t>
  </si>
  <si>
    <t>Yasmin Yazidi</t>
  </si>
  <si>
    <t>d8546b86-8d37-458b-b9f6-54b085c06bb3</t>
  </si>
  <si>
    <t>1f473a75-c5c1-4f1b-89fa-7cdd95ac757c</t>
  </si>
  <si>
    <t>Sila Tanju</t>
  </si>
  <si>
    <t>387745d6-80a1-4f7a-83ae-7d596ca32b2d</t>
  </si>
  <si>
    <t>a7c44444-c1e8-472e-a11f-6dc9b3aff28c</t>
  </si>
  <si>
    <t>Ela Sezgin Tanir</t>
  </si>
  <si>
    <t>9787b418-f350-453f-b7f7-cf54d5e0b4ca</t>
  </si>
  <si>
    <t>d18824e9-d44e-43bf-8c12-97e8854f4fd1</t>
  </si>
  <si>
    <t>Zuzanna Różyc</t>
  </si>
  <si>
    <t>6779384a-2800-42d1-b651-537488d6ac1c</t>
  </si>
  <si>
    <t>196d3ff5-eb71-4867-a7a7-00acdcae8734</t>
  </si>
  <si>
    <t>Isis Braam</t>
  </si>
  <si>
    <t>bbc5183a-a96c-4929-b3a0-43fd0defbb2e</t>
  </si>
  <si>
    <t>f383d0a5-af70-481c-8ec4-c8636b2d14fc</t>
  </si>
  <si>
    <t>b6a67513-46f0-498a-9224-25e57f77268a</t>
  </si>
  <si>
    <t>af0cb430-5f69-4696-b937-dd94cb61b1c0</t>
  </si>
  <si>
    <t>ae8a12e4-43c6-43a9-a129-26bc336c4dca</t>
  </si>
  <si>
    <t>cd349409-5f14-4a0b-a516-49b110865414</t>
  </si>
  <si>
    <t>f77fca35-748f-4b0e-87e2-1d2285e5deff</t>
  </si>
  <si>
    <t>1e30f0f6-5490-4d03-bf0f-2887c47ff627</t>
  </si>
  <si>
    <t>2609fa64-eb75-4545-970b-4e66434d457f</t>
  </si>
  <si>
    <t>82559ab9-f148-4874-a2d7-3d662b0885ae</t>
  </si>
  <si>
    <t>74f5b144-198f-4a16-8a7f-5c7da864a6a1</t>
  </si>
  <si>
    <t>58f08fa1-ab5b-4965-aefc-2662597182a4</t>
  </si>
  <si>
    <t>Noah Kugener</t>
  </si>
  <si>
    <t>91d691a3-2731-464b-9196-f4f7dfe678c6</t>
  </si>
  <si>
    <t>1f81835d-9954-486a-9c9e-58643de5137e</t>
  </si>
  <si>
    <t>05e2bcfd-4731-4cec-a056-ae62d0b417a4</t>
  </si>
  <si>
    <t>65b839fb-033b-4a66-9620-f9d1f38c7ed3</t>
  </si>
  <si>
    <t>Alexandra Jurasova</t>
  </si>
  <si>
    <t>c91576e9-b225-4456-aa46-81dec4f04b8d</t>
  </si>
  <si>
    <t>58f344a8-830a-4fcd-ba3e-4ad6dda046a7</t>
  </si>
  <si>
    <t>62cc8a0f-6c7c-487f-bf8c-fd7565a4a77f</t>
  </si>
  <si>
    <t>e44be129-b5e4-46b0-a787-5b2d64ae6199</t>
  </si>
  <si>
    <t>43ee73eb-0afe-4224-8072-de376706613f</t>
  </si>
  <si>
    <t>54b98e4e-09ad-44da-87b1-b57bafc0f174</t>
  </si>
  <si>
    <t>f6afb05b-1f58-48f9-ac86-b653d58a4da6</t>
  </si>
  <si>
    <t>d99faf04-5652-4d56-897c-07e0eb91b5c9</t>
  </si>
  <si>
    <t>c1af77e6-0e3c-4283-8c5b-178db69511c9</t>
  </si>
  <si>
    <t>6c971ea4-22a2-4c03-820e-ef623378a376</t>
  </si>
  <si>
    <t>3fb186c5-cc4b-4576-9976-d72a81793932</t>
  </si>
  <si>
    <t>fa58581b-0cfb-45ae-b7bd-09f635d207d0</t>
  </si>
  <si>
    <t>Emily Horstmann</t>
  </si>
  <si>
    <t>a33cbb49-dba8-4ab2-8330-3417f6933321</t>
  </si>
  <si>
    <t>900419e1-680c-4909-91a6-cfb5b56013bb</t>
  </si>
  <si>
    <t>be43bcbf-007f-419f-a014-474327e55513</t>
  </si>
  <si>
    <t>ca2634b5-8af0-43cd-b72d-0019cfcc0535</t>
  </si>
  <si>
    <t>Drinks bought for GA</t>
  </si>
  <si>
    <t>Drinks for Art's Movie Night</t>
  </si>
  <si>
    <t>GA Drinks</t>
  </si>
  <si>
    <t>ART Movie Night</t>
  </si>
  <si>
    <t>Sports Foosball drinks</t>
  </si>
  <si>
    <t>Committee Presentation Drinks</t>
  </si>
  <si>
    <t>TOOK PLACE BUT NOT BOOKKEPT</t>
  </si>
  <si>
    <t>Currency to Baseline???</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</si>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</sst>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164" formatCode="#,##0.00\ [$€-1]"/>
    <numFmt numFmtId="165" formatCode="[$€]#,##0.00"/>
    <numFmt numFmtId="166" formatCode="_([$€-2]\ * #,##0.00_);_([$€-2]\ * \(#,##0.00\);_([$€-2]\ * &quot;-&quot;??_);_(@_)"/>
    <numFmt numFmtId="167" formatCode="#,##0.00\ [$€-407];[Red]\-#,##0.00\ [$€-407]"/>
    <numFmt numFmtId="168" formatCode="_ [$€-2]\ * #,##0.00_ ;_ [$€-2]\ * \-#,##0.00_ ;_ [$€-2]\ * &quot;-&quot;??_ ;_ @_ "/>
    <numFmt numFmtId="169" formatCode="&quot;€&quot;#,##0.00"/>
    <numFmt numFmtId="170" formatCode="d/m/yyyy"/>
    <numFmt numFmtId="171" formatCode="&quot;€&quot;\ #,##0.00"/>
    <numFmt numFmtId="172" formatCode="[$€-2]\ #,##0.00;[Red]\-[$€-2]\ #,##0.00"/>
    <numFmt numFmtId="173" formatCode="&quot;£&quot;#,##0.00"/>
    <numFmt numFmtId="174" formatCode="#,##0.00\ &quot;€&quot;"/>
    <numFmt numFmtId="175" formatCode="#,##0.00_-\ [$€-1]"/>
    <numFmt numFmtId="176" formatCode="_-[$€-2]\ * #,##0.00_-;\-[$€-2]\ * #,##0.00_-;_-[$€-2]\ * &quot;-&quot;??_-;_-@"/>
    <numFmt numFmtId="177" formatCode="_-* #,##0.00_-;\-* #,##0.00_-;_-* &quot;-&quot;??_-;_-@"/>
    <numFmt numFmtId="178" formatCode="[$€-2]\ #,##0.00"/>
    <numFmt numFmtId="179" formatCode="[$€-2]\ #,##0.00;[Red][$€-2]\ #,##0.00"/>
    <numFmt numFmtId="180" formatCode="_-[$€-2]\ * #,##0.00_-;\-[$€-2]\ * #,##0.00_-;_-[$€-2]\ * &quot;-&quot;??_-;_-@_-"/>
  </numFmts>
  <fonts count="74"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24"/>
      <color rgb="FF2F394D"/>
      <name val="Arial"/>
      <family val="2"/>
    </font>
    <font>
      <sz val="11"/>
      <name val="Calibri"/>
      <family val="2"/>
    </font>
    <font>
      <sz val="11"/>
      <color rgb="FF000000"/>
      <name val="Calibri"/>
      <family val="2"/>
    </font>
    <font>
      <sz val="16"/>
      <color rgb="FF000000"/>
      <name val="Arial"/>
      <family val="2"/>
    </font>
    <font>
      <b/>
      <sz val="11"/>
      <color theme="0"/>
      <name val="Arial"/>
      <family val="2"/>
    </font>
    <font>
      <sz val="11"/>
      <color rgb="FF000000"/>
      <name val="Arial"/>
      <family val="2"/>
    </font>
    <font>
      <sz val="11"/>
      <color theme="1"/>
      <name val="Calibri"/>
      <family val="2"/>
    </font>
    <font>
      <sz val="18"/>
      <color theme="1"/>
      <name val="Arial"/>
      <family val="2"/>
    </font>
    <font>
      <sz val="20"/>
      <color theme="1"/>
      <name val="Calibri"/>
      <family val="2"/>
    </font>
    <font>
      <b/>
      <sz val="18"/>
      <color theme="0"/>
      <name val="Arial"/>
      <family val="2"/>
    </font>
    <font>
      <sz val="18"/>
      <color theme="0"/>
      <name val="Arial"/>
      <family val="2"/>
    </font>
    <font>
      <b/>
      <sz val="18"/>
      <color theme="1"/>
      <name val="Arial"/>
      <family val="2"/>
    </font>
    <font>
      <sz val="13"/>
      <color theme="1"/>
      <name val="Calibri"/>
      <family val="2"/>
    </font>
    <font>
      <sz val="14"/>
      <color theme="1"/>
      <name val="Arial"/>
      <family val="2"/>
    </font>
    <font>
      <sz val="14"/>
      <color rgb="FF000000"/>
      <name val="Arial"/>
      <family val="2"/>
    </font>
    <font>
      <b/>
      <sz val="20"/>
      <color rgb="FF000000"/>
      <name val="Calibri"/>
      <family val="2"/>
    </font>
    <font>
      <b/>
      <sz val="20"/>
      <color theme="1"/>
      <name val="Calibri"/>
      <family val="2"/>
    </font>
    <font>
      <sz val="12"/>
      <color theme="1"/>
      <name val="Arial"/>
      <family val="2"/>
    </font>
    <font>
      <sz val="11"/>
      <color rgb="FF000000"/>
      <name val="Consolas"/>
      <family val="2"/>
    </font>
    <font>
      <sz val="11"/>
      <color theme="0"/>
      <name val="Arial"/>
      <family val="2"/>
    </font>
    <font>
      <sz val="11"/>
      <color theme="1"/>
      <name val="Arial"/>
      <family val="2"/>
    </font>
    <font>
      <b/>
      <sz val="10"/>
      <color rgb="FF000000"/>
      <name val="Helvetica Neue"/>
      <family val="2"/>
    </font>
    <font>
      <sz val="10"/>
      <color rgb="FF000000"/>
      <name val="Helvetica Neue"/>
      <family val="2"/>
    </font>
    <font>
      <u/>
      <sz val="11"/>
      <color theme="10"/>
      <name val="Calibri"/>
      <family val="2"/>
    </font>
    <font>
      <b/>
      <sz val="11"/>
      <color theme="1"/>
      <name val="Calibri"/>
      <family val="2"/>
    </font>
    <font>
      <u/>
      <sz val="11"/>
      <color theme="10"/>
      <name val="Calibri"/>
      <family val="2"/>
    </font>
    <font>
      <b/>
      <sz val="11"/>
      <color rgb="FF000000"/>
      <name val="Calibri"/>
      <family val="2"/>
    </font>
    <font>
      <sz val="12"/>
      <color theme="1"/>
      <name val="Calibri"/>
      <family val="2"/>
    </font>
    <font>
      <sz val="12"/>
      <color rgb="FF000000"/>
      <name val="Calibri"/>
      <family val="2"/>
    </font>
    <font>
      <sz val="12"/>
      <color theme="1"/>
      <name val="Helvetica Neue"/>
      <family val="2"/>
    </font>
    <font>
      <b/>
      <sz val="16"/>
      <color rgb="FFFF0000"/>
      <name val="Calibri"/>
      <family val="2"/>
    </font>
    <font>
      <sz val="16"/>
      <color rgb="FFFF0000"/>
      <name val="Calibri"/>
      <family val="2"/>
    </font>
    <font>
      <sz val="20"/>
      <color theme="0"/>
      <name val="Arial"/>
      <family val="2"/>
    </font>
    <font>
      <sz val="20"/>
      <color theme="1"/>
      <name val="Arial"/>
      <family val="2"/>
    </font>
    <font>
      <sz val="20"/>
      <color rgb="FFFFFFFF"/>
      <name val="Arial"/>
      <family val="2"/>
    </font>
    <font>
      <sz val="20"/>
      <color rgb="FF121429"/>
      <name val="Arial"/>
      <family val="2"/>
    </font>
    <font>
      <b/>
      <sz val="20"/>
      <color rgb="FFFFFFFF"/>
      <name val="Arial"/>
      <family val="2"/>
    </font>
    <font>
      <sz val="20"/>
      <color rgb="FF000000"/>
      <name val="Calibri"/>
      <family val="2"/>
    </font>
    <font>
      <sz val="20"/>
      <color theme="0"/>
      <name val="Calibri"/>
      <family val="2"/>
    </font>
    <font>
      <sz val="24"/>
      <color theme="1"/>
      <name val="Calibri"/>
      <family val="2"/>
    </font>
    <font>
      <b/>
      <sz val="24"/>
      <color theme="1"/>
      <name val="Calibri"/>
      <family val="2"/>
    </font>
    <font>
      <b/>
      <sz val="20"/>
      <color rgb="FFFFFFFF"/>
      <name val="Calibri"/>
      <family val="2"/>
    </font>
    <font>
      <b/>
      <sz val="24"/>
      <color theme="1"/>
      <name val="Arial"/>
      <family val="2"/>
    </font>
    <font>
      <b/>
      <sz val="14"/>
      <color theme="1"/>
      <name val="Arial"/>
      <family val="2"/>
    </font>
    <font>
      <b/>
      <sz val="20"/>
      <color theme="0"/>
      <name val="Calibri"/>
      <family val="2"/>
    </font>
    <font>
      <b/>
      <sz val="22"/>
      <color theme="1"/>
      <name val="Calibri"/>
      <family val="2"/>
    </font>
    <font>
      <sz val="22"/>
      <color theme="1"/>
      <name val="Calibri"/>
      <family val="2"/>
    </font>
    <font>
      <b/>
      <i/>
      <sz val="11"/>
      <color theme="1"/>
      <name val="Calibri"/>
      <family val="2"/>
    </font>
    <font>
      <sz val="20"/>
      <color rgb="FFFF0000"/>
      <name val="Calibri"/>
      <family val="2"/>
    </font>
    <font>
      <b/>
      <sz val="20"/>
      <color theme="1"/>
      <name val="Arial"/>
      <family val="2"/>
    </font>
    <font>
      <b/>
      <sz val="20"/>
      <color rgb="FF000000"/>
      <name val="Arial"/>
      <family val="2"/>
    </font>
    <font>
      <sz val="24"/>
      <color theme="1"/>
      <name val="Arial"/>
      <family val="2"/>
    </font>
    <font>
      <sz val="10"/>
      <color rgb="FF000000"/>
      <name val="Arial"/>
      <family val="2"/>
    </font>
    <font>
      <b/>
      <sz val="24"/>
      <color rgb="FF000000"/>
      <name val="Calibri"/>
      <family val="2"/>
    </font>
    <font>
      <sz val="24"/>
      <color rgb="FF000000"/>
      <name val="Calibri"/>
      <family val="2"/>
    </font>
    <font>
      <sz val="10"/>
      <color theme="1"/>
      <name val="Arial"/>
      <family val="2"/>
    </font>
    <font>
      <sz val="11"/>
      <color theme="1"/>
      <name val="Calibri"/>
      <family val="2"/>
      <scheme val="minor"/>
    </font>
    <font>
      <b/>
      <sz val="14"/>
      <color theme="1"/>
      <name val="Calibri"/>
      <family val="2"/>
    </font>
    <font>
      <b/>
      <sz val="20"/>
      <color theme="0"/>
      <name val="Helvetica Neue"/>
      <family val="2"/>
    </font>
    <font>
      <b/>
      <sz val="10"/>
      <color theme="1"/>
      <name val="Nunito"/>
    </font>
    <font>
      <sz val="10"/>
      <color theme="1"/>
      <name val="Nunito"/>
    </font>
    <font>
      <b/>
      <sz val="11"/>
      <color theme="1"/>
      <name val="Calibri"/>
      <family val="2"/>
      <scheme val="minor"/>
    </font>
    <font>
      <sz val="11"/>
      <color theme="1"/>
      <name val="Calibri"/>
      <family val="2"/>
    </font>
    <font>
      <sz val="20"/>
      <color theme="1"/>
      <name val="Calibri"/>
      <family val="2"/>
    </font>
    <font>
      <b/>
      <sz val="20"/>
      <color rgb="FF000000"/>
      <name val="Calibri"/>
      <family val="2"/>
    </font>
    <font>
      <sz val="11"/>
      <color theme="1"/>
      <name val="Arial"/>
      <family val="2"/>
    </font>
    <font>
      <b/>
      <sz val="11"/>
      <color theme="1"/>
      <name val="Calibri"/>
      <family val="2"/>
    </font>
  </fonts>
  <fills count="51">
    <fill>
      <patternFill patternType="none"/>
    </fill>
    <fill>
      <patternFill patternType="gray125"/>
    </fill>
    <fill>
      <patternFill patternType="solid">
        <fgColor rgb="FFBCD9DE"/>
        <bgColor rgb="FFBCD9DE"/>
      </patternFill>
    </fill>
    <fill>
      <patternFill patternType="solid">
        <fgColor rgb="FFA9CBEE"/>
        <bgColor rgb="FFA9CBEE"/>
      </patternFill>
    </fill>
    <fill>
      <patternFill patternType="solid">
        <fgColor rgb="FF5B63B7"/>
        <bgColor rgb="FF5B63B7"/>
      </patternFill>
    </fill>
    <fill>
      <patternFill patternType="solid">
        <fgColor rgb="FF1B1E3D"/>
        <bgColor rgb="FF1B1E3D"/>
      </patternFill>
    </fill>
    <fill>
      <patternFill patternType="solid">
        <fgColor rgb="FFC8CBE7"/>
        <bgColor rgb="FFC8CBE7"/>
      </patternFill>
    </fill>
    <fill>
      <patternFill patternType="solid">
        <fgColor rgb="FF2B5258"/>
        <bgColor rgb="FF2B5258"/>
      </patternFill>
    </fill>
    <fill>
      <patternFill patternType="solid">
        <fgColor rgb="FFEBE8EB"/>
        <bgColor rgb="FFEBE8EB"/>
      </patternFill>
    </fill>
    <fill>
      <patternFill patternType="solid">
        <fgColor rgb="FF374C81"/>
        <bgColor rgb="FF374C81"/>
      </patternFill>
    </fill>
    <fill>
      <patternFill patternType="solid">
        <fgColor rgb="FF0E57C4"/>
        <bgColor rgb="FF0E57C4"/>
      </patternFill>
    </fill>
    <fill>
      <patternFill patternType="solid">
        <fgColor rgb="FF84B2F6"/>
        <bgColor rgb="FF84B2F6"/>
      </patternFill>
    </fill>
    <fill>
      <patternFill patternType="solid">
        <fgColor rgb="FFACCBF9"/>
        <bgColor rgb="FFACCBF9"/>
      </patternFill>
    </fill>
    <fill>
      <patternFill patternType="solid">
        <fgColor rgb="FFF7B3B0"/>
        <bgColor rgb="FFF7B3B0"/>
      </patternFill>
    </fill>
    <fill>
      <patternFill patternType="solid">
        <fgColor rgb="FFDFEBF5"/>
        <bgColor rgb="FFDFEBF5"/>
      </patternFill>
    </fill>
    <fill>
      <patternFill patternType="solid">
        <fgColor rgb="FF92D050"/>
        <bgColor rgb="FF92D050"/>
      </patternFill>
    </fill>
    <fill>
      <patternFill patternType="solid">
        <fgColor rgb="FFC0D7EC"/>
        <bgColor rgb="FFC0D7EC"/>
      </patternFill>
    </fill>
    <fill>
      <patternFill patternType="solid">
        <fgColor rgb="FF417B84"/>
        <bgColor rgb="FF417B84"/>
      </patternFill>
    </fill>
    <fill>
      <patternFill patternType="solid">
        <fgColor rgb="FFDDECEE"/>
        <bgColor rgb="FFDDECEE"/>
      </patternFill>
    </fill>
    <fill>
      <patternFill patternType="solid">
        <fgColor theme="5"/>
        <bgColor theme="5"/>
      </patternFill>
    </fill>
    <fill>
      <patternFill patternType="solid">
        <fgColor rgb="FF9BC7CE"/>
        <bgColor rgb="FF9BC7CE"/>
      </patternFill>
    </fill>
    <fill>
      <patternFill patternType="solid">
        <fgColor rgb="FFFFF2CC"/>
        <bgColor rgb="FFFFF2CC"/>
      </patternFill>
    </fill>
    <fill>
      <patternFill patternType="solid">
        <fgColor rgb="FF253356"/>
        <bgColor rgb="FF253356"/>
      </patternFill>
    </fill>
    <fill>
      <patternFill patternType="solid">
        <fgColor rgb="FF90A2CF"/>
        <bgColor rgb="FF90A2CF"/>
      </patternFill>
    </fill>
    <fill>
      <patternFill patternType="solid">
        <fgColor rgb="FFB5C1DF"/>
        <bgColor rgb="FFB5C1DF"/>
      </patternFill>
    </fill>
    <fill>
      <patternFill patternType="solid">
        <fgColor rgb="FFDAE0EF"/>
        <bgColor rgb="FFDAE0EF"/>
      </patternFill>
    </fill>
    <fill>
      <patternFill patternType="solid">
        <fgColor theme="0"/>
        <bgColor theme="0"/>
      </patternFill>
    </fill>
    <fill>
      <patternFill patternType="solid">
        <fgColor rgb="FFC00000"/>
        <bgColor rgb="FFC00000"/>
      </patternFill>
    </fill>
    <fill>
      <patternFill patternType="solid">
        <fgColor rgb="FF00B050"/>
        <bgColor rgb="FF00B050"/>
      </patternFill>
    </fill>
    <fill>
      <patternFill patternType="solid">
        <fgColor rgb="FFFFFF00"/>
        <bgColor rgb="FFFFFF00"/>
      </patternFill>
    </fill>
    <fill>
      <patternFill patternType="solid">
        <fgColor theme="8"/>
        <bgColor theme="8"/>
      </patternFill>
    </fill>
    <fill>
      <patternFill patternType="solid">
        <fgColor rgb="FF224F76"/>
        <bgColor rgb="FF224F76"/>
      </patternFill>
    </fill>
    <fill>
      <patternFill patternType="solid">
        <fgColor rgb="FF9297CF"/>
        <bgColor rgb="FF9297CF"/>
      </patternFill>
    </fill>
    <fill>
      <patternFill patternType="solid">
        <fgColor rgb="FFA0C4E3"/>
        <bgColor rgb="FFA0C4E3"/>
      </patternFill>
    </fill>
    <fill>
      <patternFill patternType="solid">
        <fgColor rgb="FFFFFFFF"/>
        <bgColor rgb="FFFFFFFF"/>
      </patternFill>
    </fill>
    <fill>
      <patternFill patternType="solid">
        <fgColor rgb="FF7F7F7F"/>
        <bgColor rgb="FF7F7F7F"/>
      </patternFill>
    </fill>
    <fill>
      <patternFill patternType="solid">
        <fgColor rgb="FF072B62"/>
        <bgColor rgb="FF072B62"/>
      </patternFill>
    </fill>
    <fill>
      <patternFill patternType="solid">
        <fgColor rgb="FF021127"/>
        <bgColor rgb="FF021127"/>
      </patternFill>
    </fill>
    <fill>
      <patternFill patternType="solid">
        <fgColor rgb="FF498DF1"/>
        <bgColor rgb="FF498DF1"/>
      </patternFill>
    </fill>
    <fill>
      <patternFill patternType="solid">
        <fgColor rgb="FFA1E2ED"/>
        <bgColor rgb="FFA1E2ED"/>
      </patternFill>
    </fill>
    <fill>
      <patternFill patternType="solid">
        <fgColor rgb="FFF2F2F2"/>
        <bgColor rgb="FFF2F2F2"/>
      </patternFill>
    </fill>
    <fill>
      <patternFill patternType="solid">
        <fgColor rgb="FFC65911"/>
        <bgColor rgb="FFC65911"/>
      </patternFill>
    </fill>
    <fill>
      <patternFill patternType="solid">
        <fgColor rgb="FF002060"/>
        <bgColor rgb="FF002060"/>
      </patternFill>
    </fill>
    <fill>
      <patternFill patternType="solid">
        <fgColor rgb="FF00B0F0"/>
        <bgColor rgb="FF00B0F0"/>
      </patternFill>
    </fill>
    <fill>
      <patternFill patternType="solid">
        <fgColor theme="7"/>
        <bgColor theme="7"/>
      </patternFill>
    </fill>
    <fill>
      <patternFill patternType="solid">
        <fgColor theme="9"/>
        <bgColor theme="9"/>
      </patternFill>
    </fill>
    <fill>
      <patternFill patternType="solid">
        <fgColor rgb="FFFFFF00"/>
        <bgColor indexed="64"/>
      </patternFill>
    </fill>
    <fill>
      <patternFill patternType="solid">
        <fgColor rgb="FFFF0000"/>
        <bgColor indexed="64"/>
      </patternFill>
    </fill>
    <fill>
      <patternFill patternType="solid">
        <fgColor rgb="FFFFCC99"/>
        <bgColor indexed="64"/>
      </patternFill>
    </fill>
    <fill>
      <patternFill patternType="solid">
        <fgColor rgb="FFFF0000"/>
        <bgColor rgb="FFDDECEE"/>
      </patternFill>
    </fill>
    <fill>
      <patternFill patternType="solid">
        <fgColor rgb="FFFFCC99"/>
        <bgColor rgb="FFDDECEE"/>
      </patternFill>
    </fill>
  </fills>
  <borders count="157">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top/>
      <bottom style="thin">
        <color rgb="FF000000"/>
      </bottom>
      <diagonal/>
    </border>
    <border>
      <left/>
      <right/>
      <top/>
      <bottom/>
      <diagonal/>
    </border>
    <border>
      <left style="thin">
        <color rgb="FF000000"/>
      </left>
      <right style="thin">
        <color rgb="FF000000"/>
      </right>
      <top/>
      <bottom/>
      <diagonal/>
    </border>
    <border>
      <left style="thin">
        <color rgb="FF000000"/>
      </left>
      <right/>
      <top/>
      <bottom style="thin">
        <color rgb="FFCEB5DD"/>
      </bottom>
      <diagonal/>
    </border>
    <border>
      <left style="thin">
        <color rgb="FF000000"/>
      </left>
      <right style="thin">
        <color rgb="FF000000"/>
      </right>
      <top/>
      <bottom style="thin">
        <color rgb="FFCEB5DD"/>
      </bottom>
      <diagonal/>
    </border>
    <border>
      <left style="thin">
        <color rgb="FF000000"/>
      </left>
      <right style="thin">
        <color rgb="FF000000"/>
      </right>
      <top style="thin">
        <color rgb="FFCEB5DD"/>
      </top>
      <bottom style="thin">
        <color rgb="FFCEB5DD"/>
      </bottom>
      <diagonal/>
    </border>
    <border>
      <left style="thin">
        <color rgb="FF000000"/>
      </left>
      <right/>
      <top/>
      <bottom/>
      <diagonal/>
    </border>
    <border>
      <left/>
      <right/>
      <top/>
      <bottom/>
      <diagonal/>
    </border>
    <border>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thin">
        <color rgb="FF000000"/>
      </left>
      <right style="medium">
        <color rgb="FF000000"/>
      </right>
      <top/>
      <bottom/>
      <diagonal/>
    </border>
    <border>
      <left/>
      <right/>
      <top/>
      <bottom style="thin">
        <color rgb="FF000000"/>
      </bottom>
      <diagonal/>
    </border>
    <border>
      <left style="medium">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style="thin">
        <color rgb="FF000000"/>
      </right>
      <top/>
      <bottom/>
      <diagonal/>
    </border>
    <border>
      <left/>
      <right style="medium">
        <color rgb="FF000000"/>
      </right>
      <top/>
      <bottom/>
      <diagonal/>
    </border>
    <border>
      <left style="thin">
        <color rgb="FF000000"/>
      </left>
      <right style="medium">
        <color rgb="FF000000"/>
      </right>
      <top/>
      <bottom/>
      <diagonal/>
    </border>
    <border>
      <left style="medium">
        <color rgb="FF000000"/>
      </left>
      <right/>
      <top/>
      <bottom/>
      <diagonal/>
    </border>
    <border>
      <left/>
      <right/>
      <top/>
      <bottom/>
      <diagonal/>
    </border>
    <border>
      <left style="medium">
        <color rgb="FF000000"/>
      </left>
      <right/>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style="thin">
        <color rgb="FF000000"/>
      </top>
      <bottom/>
      <diagonal/>
    </border>
    <border>
      <left/>
      <right/>
      <top style="thin">
        <color rgb="FF000000"/>
      </top>
      <bottom/>
      <diagonal/>
    </border>
    <border>
      <left style="medium">
        <color rgb="FF000000"/>
      </left>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style="dotted">
        <color rgb="FF000000"/>
      </bottom>
      <diagonal/>
    </border>
    <border>
      <left style="dotted">
        <color rgb="FF000000"/>
      </left>
      <right/>
      <top style="dotted">
        <color rgb="FF000000"/>
      </top>
      <bottom/>
      <diagonal/>
    </border>
    <border>
      <left/>
      <right style="medium">
        <color rgb="FF000000"/>
      </right>
      <top style="dotted">
        <color rgb="FF000000"/>
      </top>
      <bottom/>
      <diagonal/>
    </border>
    <border>
      <left/>
      <right/>
      <top style="dotted">
        <color rgb="FF000000"/>
      </top>
      <bottom/>
      <diagonal/>
    </border>
    <border>
      <left style="dotted">
        <color rgb="FF000000"/>
      </left>
      <right/>
      <top/>
      <bottom/>
      <diagonal/>
    </border>
    <border>
      <left style="dotted">
        <color rgb="FF000000"/>
      </left>
      <right/>
      <top/>
      <bottom style="dotted">
        <color rgb="FF000000"/>
      </bottom>
      <diagonal/>
    </border>
    <border>
      <left/>
      <right style="medium">
        <color rgb="FF000000"/>
      </right>
      <top/>
      <bottom style="dotted">
        <color rgb="FF000000"/>
      </bottom>
      <diagonal/>
    </border>
    <border>
      <left/>
      <right/>
      <top/>
      <bottom style="dotted">
        <color rgb="FF000000"/>
      </bottom>
      <diagonal/>
    </border>
    <border>
      <left/>
      <right style="medium">
        <color rgb="FF000000"/>
      </right>
      <top/>
      <bottom/>
      <diagonal/>
    </border>
    <border>
      <left style="thin">
        <color rgb="FF000000"/>
      </left>
      <right/>
      <top style="dotted">
        <color rgb="FF000000"/>
      </top>
      <bottom/>
      <diagonal/>
    </border>
    <border>
      <left style="thin">
        <color rgb="FF000000"/>
      </left>
      <right/>
      <top/>
      <bottom/>
      <diagonal/>
    </border>
    <border>
      <left style="thin">
        <color rgb="FF000000"/>
      </left>
      <right/>
      <top/>
      <bottom style="dotted">
        <color rgb="FF000000"/>
      </bottom>
      <diagonal/>
    </border>
    <border>
      <left style="medium">
        <color rgb="FF000000"/>
      </left>
      <right style="medium">
        <color rgb="FF000000"/>
      </right>
      <top/>
      <bottom style="dotted">
        <color rgb="FF000000"/>
      </bottom>
      <diagonal/>
    </border>
    <border>
      <left/>
      <right/>
      <top style="dotted">
        <color rgb="FF000000"/>
      </top>
      <bottom/>
      <diagonal/>
    </border>
    <border>
      <left style="medium">
        <color rgb="FF000000"/>
      </left>
      <right/>
      <top/>
      <bottom/>
      <diagonal/>
    </border>
    <border>
      <left style="medium">
        <color rgb="FF000000"/>
      </left>
      <right/>
      <top/>
      <bottom style="dotted">
        <color rgb="FF000000"/>
      </bottom>
      <diagonal/>
    </border>
    <border>
      <left style="medium">
        <color rgb="FF000000"/>
      </left>
      <right style="dotted">
        <color rgb="FF000000"/>
      </right>
      <top/>
      <bottom style="dotted">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diagonal/>
    </border>
    <border>
      <left style="thin">
        <color rgb="FF000000"/>
      </left>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style="thin">
        <color rgb="FF000000"/>
      </right>
      <top style="medium">
        <color rgb="FF000000"/>
      </top>
      <bottom style="medium">
        <color rgb="FF000000"/>
      </bottom>
      <diagonal/>
    </border>
    <border>
      <left style="dotted">
        <color rgb="FF000000"/>
      </left>
      <right/>
      <top/>
      <bottom/>
      <diagonal/>
    </border>
    <border>
      <left style="medium">
        <color rgb="FF000000"/>
      </left>
      <right style="medium">
        <color rgb="FF000000"/>
      </right>
      <top style="dotted">
        <color rgb="FF000000"/>
      </top>
      <bottom/>
      <diagonal/>
    </border>
    <border>
      <left/>
      <right style="thin">
        <color rgb="FF000000"/>
      </right>
      <top/>
      <bottom style="dotted">
        <color rgb="FF000000"/>
      </bottom>
      <diagonal/>
    </border>
    <border>
      <left/>
      <right style="thin">
        <color rgb="FF000000"/>
      </right>
      <top style="dotted">
        <color rgb="FF000000"/>
      </top>
      <bottom/>
      <diagonal/>
    </border>
    <border>
      <left/>
      <right/>
      <top style="dotted">
        <color rgb="FF000000"/>
      </top>
      <bottom/>
      <diagonal/>
    </border>
    <border>
      <left style="medium">
        <color rgb="FF000000"/>
      </left>
      <right style="thin">
        <color rgb="FF000000"/>
      </right>
      <top/>
      <bottom/>
      <diagonal/>
    </border>
    <border>
      <left style="medium">
        <color rgb="FF000000"/>
      </left>
      <right style="thin">
        <color rgb="FF000000"/>
      </right>
      <top/>
      <bottom/>
      <diagonal/>
    </border>
    <border>
      <left style="dotted">
        <color rgb="FF000000"/>
      </left>
      <right style="dotted">
        <color rgb="FF000000"/>
      </right>
      <top style="dotted">
        <color rgb="FF000000"/>
      </top>
      <bottom/>
      <diagonal/>
    </border>
    <border>
      <left style="dotted">
        <color rgb="FF000000"/>
      </left>
      <right style="dotted">
        <color rgb="FF000000"/>
      </right>
      <top/>
      <bottom/>
      <diagonal/>
    </border>
    <border>
      <left style="dotted">
        <color rgb="FF000000"/>
      </left>
      <right style="dotted">
        <color rgb="FF000000"/>
      </right>
      <top/>
      <bottom style="dotted">
        <color rgb="FF000000"/>
      </bottom>
      <diagonal/>
    </border>
    <border>
      <left style="thin">
        <color rgb="FF000000"/>
      </left>
      <right style="dotted">
        <color rgb="FF000000"/>
      </right>
      <top style="dotted">
        <color rgb="FF000000"/>
      </top>
      <bottom/>
      <diagonal/>
    </border>
    <border>
      <left style="thin">
        <color rgb="FF000000"/>
      </left>
      <right style="dotted">
        <color rgb="FF000000"/>
      </right>
      <top/>
      <bottom/>
      <diagonal/>
    </border>
    <border>
      <left style="thin">
        <color rgb="FF000000"/>
      </left>
      <right style="dotted">
        <color rgb="FF000000"/>
      </right>
      <top/>
      <bottom style="dotted">
        <color rgb="FF000000"/>
      </bottom>
      <diagonal/>
    </border>
    <border>
      <left/>
      <right/>
      <top/>
      <bottom style="medium">
        <color rgb="FF000000"/>
      </bottom>
      <diagonal/>
    </border>
    <border>
      <left/>
      <right/>
      <top/>
      <bottom style="dotted">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top/>
      <bottom style="dotted">
        <color rgb="FF000000"/>
      </bottom>
      <diagonal/>
    </border>
    <border>
      <left/>
      <right style="medium">
        <color rgb="FF000000"/>
      </right>
      <top/>
      <bottom style="dotted">
        <color rgb="FF000000"/>
      </bottom>
      <diagonal/>
    </border>
    <border>
      <left style="thin">
        <color rgb="FF000000"/>
      </left>
      <right/>
      <top/>
      <bottom style="medium">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ck">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dotted">
        <color rgb="FF000000"/>
      </left>
      <right style="thin">
        <color rgb="FF000000"/>
      </right>
      <top style="dotted">
        <color rgb="FF000000"/>
      </top>
      <bottom/>
      <diagonal/>
    </border>
    <border>
      <left style="dotted">
        <color rgb="FF000000"/>
      </left>
      <right style="thin">
        <color rgb="FF000000"/>
      </right>
      <top/>
      <bottom/>
      <diagonal/>
    </border>
    <border>
      <left style="dotted">
        <color rgb="FF000000"/>
      </left>
      <right style="thin">
        <color rgb="FF000000"/>
      </right>
      <top/>
      <bottom style="dotted">
        <color rgb="FF000000"/>
      </bottom>
      <diagonal/>
    </border>
    <border>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medium">
        <color rgb="FF000000"/>
      </left>
      <right/>
      <top style="dotted">
        <color rgb="FF000000"/>
      </top>
      <bottom/>
      <diagonal/>
    </border>
    <border>
      <left/>
      <right/>
      <top/>
      <bottom style="dotted">
        <color rgb="FF000000"/>
      </bottom>
      <diagonal/>
    </border>
    <border>
      <left/>
      <right/>
      <top/>
      <bottom style="thin">
        <color rgb="FF000000"/>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top/>
      <bottom/>
      <diagonal/>
    </border>
    <border>
      <left style="dotted">
        <color rgb="FF000000"/>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right style="medium">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top/>
      <bottom/>
      <diagonal/>
    </border>
    <border>
      <left style="thin">
        <color rgb="FF000000"/>
      </left>
      <right/>
      <top/>
      <bottom/>
      <diagonal/>
    </border>
    <border>
      <left/>
      <right/>
      <top/>
      <bottom style="medium">
        <color rgb="FF000000"/>
      </bottom>
      <diagonal/>
    </border>
  </borders>
  <cellStyleXfs count="1">
    <xf numFmtId="0" fontId="0" fillId="0" borderId="0"/>
  </cellStyleXfs>
  <cellXfs count="707">
    <xf numFmtId="0" fontId="0" fillId="0" borderId="0" xfId="0"/>
    <xf numFmtId="0" fontId="9" fillId="0" borderId="0" xfId="0" applyFont="1"/>
    <xf numFmtId="0" fontId="11" fillId="4" borderId="9" xfId="0" applyFont="1" applyFill="1" applyBorder="1" applyAlignment="1">
      <alignment horizontal="left"/>
    </xf>
    <xf numFmtId="0" fontId="11" fillId="5" borderId="10" xfId="0" applyFont="1" applyFill="1" applyBorder="1" applyAlignment="1">
      <alignment horizontal="left"/>
    </xf>
    <xf numFmtId="0" fontId="12" fillId="6" borderId="10" xfId="0" applyFont="1" applyFill="1" applyBorder="1" applyAlignment="1">
      <alignment horizontal="left"/>
    </xf>
    <xf numFmtId="0" fontId="12" fillId="6" borderId="11" xfId="0" applyFont="1" applyFill="1" applyBorder="1" applyAlignment="1">
      <alignment horizontal="left"/>
    </xf>
    <xf numFmtId="0" fontId="12" fillId="6" borderId="12" xfId="0" applyFont="1" applyFill="1" applyBorder="1" applyAlignment="1">
      <alignment horizontal="left"/>
    </xf>
    <xf numFmtId="0" fontId="12" fillId="6" borderId="13" xfId="0" applyFont="1" applyFill="1" applyBorder="1" applyAlignment="1">
      <alignment horizontal="left"/>
    </xf>
    <xf numFmtId="0" fontId="12" fillId="6" borderId="14" xfId="0" applyFont="1" applyFill="1" applyBorder="1" applyAlignment="1">
      <alignment horizontal="left"/>
    </xf>
    <xf numFmtId="0" fontId="13" fillId="0" borderId="15" xfId="0" applyFont="1" applyBorder="1"/>
    <xf numFmtId="0" fontId="13" fillId="0" borderId="0" xfId="0" applyFont="1"/>
    <xf numFmtId="0" fontId="12" fillId="6" borderId="10" xfId="0" applyFont="1" applyFill="1" applyBorder="1"/>
    <xf numFmtId="0" fontId="13" fillId="0" borderId="0" xfId="0" applyFont="1" applyAlignment="1">
      <alignment vertical="top"/>
    </xf>
    <xf numFmtId="0" fontId="13" fillId="0" borderId="0" xfId="0" applyFont="1" applyAlignment="1">
      <alignment vertical="top" wrapText="1"/>
    </xf>
    <xf numFmtId="0" fontId="15" fillId="0" borderId="0" xfId="0" applyFont="1" applyAlignment="1">
      <alignment vertical="center"/>
    </xf>
    <xf numFmtId="0" fontId="16" fillId="7" borderId="18" xfId="0" applyFont="1" applyFill="1" applyBorder="1"/>
    <xf numFmtId="0" fontId="17" fillId="7" borderId="19" xfId="0" applyFont="1" applyFill="1" applyBorder="1"/>
    <xf numFmtId="0" fontId="16" fillId="7" borderId="11" xfId="0" applyFont="1" applyFill="1" applyBorder="1"/>
    <xf numFmtId="0" fontId="17" fillId="7" borderId="20" xfId="0" applyFont="1" applyFill="1" applyBorder="1"/>
    <xf numFmtId="0" fontId="16" fillId="7" borderId="21" xfId="0" applyFont="1" applyFill="1" applyBorder="1"/>
    <xf numFmtId="0" fontId="17" fillId="7" borderId="22" xfId="0" applyFont="1" applyFill="1" applyBorder="1"/>
    <xf numFmtId="0" fontId="18" fillId="8" borderId="20" xfId="0" applyFont="1" applyFill="1" applyBorder="1"/>
    <xf numFmtId="0" fontId="14" fillId="8" borderId="20" xfId="0" applyFont="1" applyFill="1" applyBorder="1"/>
    <xf numFmtId="0" fontId="15" fillId="0" borderId="0" xfId="0" applyFont="1" applyAlignment="1">
      <alignment horizontal="left" vertical="center" wrapText="1"/>
    </xf>
    <xf numFmtId="0" fontId="18" fillId="3" borderId="18" xfId="0" applyFont="1" applyFill="1" applyBorder="1"/>
    <xf numFmtId="0" fontId="14" fillId="3" borderId="19" xfId="0" applyFont="1" applyFill="1" applyBorder="1"/>
    <xf numFmtId="0" fontId="15" fillId="0" borderId="0" xfId="0" applyFont="1" applyAlignment="1">
      <alignment vertical="top"/>
    </xf>
    <xf numFmtId="0" fontId="15" fillId="0" borderId="0" xfId="0" applyFont="1" applyAlignment="1">
      <alignment vertical="top" wrapText="1"/>
    </xf>
    <xf numFmtId="0" fontId="15" fillId="0" borderId="0" xfId="0" applyFont="1"/>
    <xf numFmtId="0" fontId="18" fillId="3" borderId="11" xfId="0" applyFont="1" applyFill="1" applyBorder="1"/>
    <xf numFmtId="0" fontId="14" fillId="3" borderId="20" xfId="0" applyFont="1" applyFill="1" applyBorder="1"/>
    <xf numFmtId="0" fontId="18" fillId="3" borderId="21" xfId="0" applyFont="1" applyFill="1" applyBorder="1"/>
    <xf numFmtId="0" fontId="14" fillId="3" borderId="22" xfId="0" applyFont="1" applyFill="1" applyBorder="1"/>
    <xf numFmtId="0" fontId="18" fillId="6" borderId="19" xfId="0" applyFont="1" applyFill="1" applyBorder="1"/>
    <xf numFmtId="0" fontId="14" fillId="6" borderId="19" xfId="0" applyFont="1" applyFill="1" applyBorder="1"/>
    <xf numFmtId="0" fontId="18" fillId="6" borderId="20" xfId="0" applyFont="1" applyFill="1" applyBorder="1"/>
    <xf numFmtId="0" fontId="14" fillId="6" borderId="20" xfId="0" applyFont="1" applyFill="1" applyBorder="1"/>
    <xf numFmtId="0" fontId="18" fillId="6" borderId="22" xfId="0" applyFont="1" applyFill="1" applyBorder="1"/>
    <xf numFmtId="0" fontId="14" fillId="6" borderId="22" xfId="0" applyFont="1" applyFill="1" applyBorder="1"/>
    <xf numFmtId="0" fontId="16" fillId="9" borderId="19" xfId="0" applyFont="1" applyFill="1" applyBorder="1"/>
    <xf numFmtId="0" fontId="17" fillId="9" borderId="19" xfId="0" applyFont="1" applyFill="1" applyBorder="1"/>
    <xf numFmtId="0" fontId="16" fillId="9" borderId="20" xfId="0" applyFont="1" applyFill="1" applyBorder="1"/>
    <xf numFmtId="0" fontId="17" fillId="9" borderId="20" xfId="0" applyFont="1" applyFill="1" applyBorder="1"/>
    <xf numFmtId="0" fontId="16" fillId="10" borderId="20" xfId="0" applyFont="1" applyFill="1" applyBorder="1"/>
    <xf numFmtId="0" fontId="17" fillId="10" borderId="20" xfId="0" applyFont="1" applyFill="1" applyBorder="1"/>
    <xf numFmtId="0" fontId="18" fillId="11" borderId="20" xfId="0" applyFont="1" applyFill="1" applyBorder="1"/>
    <xf numFmtId="0" fontId="14" fillId="11" borderId="20" xfId="0" applyFont="1" applyFill="1" applyBorder="1"/>
    <xf numFmtId="0" fontId="18" fillId="12" borderId="20" xfId="0" applyFont="1" applyFill="1" applyBorder="1"/>
    <xf numFmtId="0" fontId="14" fillId="12" borderId="20" xfId="0" applyFont="1" applyFill="1" applyBorder="1"/>
    <xf numFmtId="0" fontId="18" fillId="13" borderId="20" xfId="0" applyFont="1" applyFill="1" applyBorder="1"/>
    <xf numFmtId="0" fontId="14" fillId="13" borderId="20" xfId="0" applyFont="1" applyFill="1" applyBorder="1"/>
    <xf numFmtId="0" fontId="18" fillId="14" borderId="20" xfId="0" applyFont="1" applyFill="1" applyBorder="1"/>
    <xf numFmtId="0" fontId="14" fillId="14" borderId="20" xfId="0" applyFont="1" applyFill="1" applyBorder="1"/>
    <xf numFmtId="0" fontId="18" fillId="15" borderId="22" xfId="0" applyFont="1" applyFill="1" applyBorder="1"/>
    <xf numFmtId="0" fontId="14" fillId="15" borderId="22" xfId="0" applyFont="1" applyFill="1" applyBorder="1"/>
    <xf numFmtId="0" fontId="19" fillId="0" borderId="0" xfId="0" applyFont="1"/>
    <xf numFmtId="0" fontId="19" fillId="16" borderId="10" xfId="0" applyFont="1" applyFill="1" applyBorder="1"/>
    <xf numFmtId="0" fontId="20" fillId="0" borderId="0" xfId="0" applyFont="1"/>
    <xf numFmtId="0" fontId="21" fillId="0" borderId="0" xfId="0" applyFont="1"/>
    <xf numFmtId="164" fontId="22" fillId="0" borderId="0" xfId="0" applyNumberFormat="1" applyFont="1" applyAlignment="1">
      <alignment vertical="center"/>
    </xf>
    <xf numFmtId="164" fontId="22" fillId="0" borderId="0" xfId="0" applyNumberFormat="1" applyFont="1" applyAlignment="1">
      <alignment horizontal="center" vertical="center"/>
    </xf>
    <xf numFmtId="164" fontId="20" fillId="0" borderId="0" xfId="0" applyNumberFormat="1" applyFont="1"/>
    <xf numFmtId="0" fontId="23" fillId="0" borderId="0" xfId="0" applyFont="1" applyAlignment="1">
      <alignment vertical="center"/>
    </xf>
    <xf numFmtId="164" fontId="23" fillId="0" borderId="0" xfId="0" applyNumberFormat="1" applyFont="1" applyAlignment="1">
      <alignment vertical="center"/>
    </xf>
    <xf numFmtId="164" fontId="21" fillId="0" borderId="0" xfId="0" applyNumberFormat="1" applyFont="1"/>
    <xf numFmtId="0" fontId="24" fillId="0" borderId="0" xfId="0" applyFont="1"/>
    <xf numFmtId="164" fontId="21" fillId="0" borderId="0" xfId="0" applyNumberFormat="1" applyFont="1" applyAlignment="1">
      <alignment wrapText="1"/>
    </xf>
    <xf numFmtId="165" fontId="21" fillId="0" borderId="0" xfId="0" applyNumberFormat="1" applyFont="1"/>
    <xf numFmtId="165" fontId="21" fillId="0" borderId="0" xfId="0" applyNumberFormat="1" applyFont="1" applyAlignment="1">
      <alignment wrapText="1"/>
    </xf>
    <xf numFmtId="164" fontId="23" fillId="0" borderId="0" xfId="0" applyNumberFormat="1" applyFont="1" applyAlignment="1">
      <alignment vertical="center" wrapText="1"/>
    </xf>
    <xf numFmtId="166" fontId="20" fillId="0" borderId="0" xfId="0" applyNumberFormat="1" applyFont="1"/>
    <xf numFmtId="166" fontId="21" fillId="0" borderId="0" xfId="0" applyNumberFormat="1" applyFont="1" applyAlignment="1">
      <alignment horizontal="left"/>
    </xf>
    <xf numFmtId="167" fontId="20" fillId="0" borderId="0" xfId="0" applyNumberFormat="1" applyFont="1"/>
    <xf numFmtId="167" fontId="21" fillId="0" borderId="0" xfId="0" applyNumberFormat="1" applyFont="1"/>
    <xf numFmtId="0" fontId="25" fillId="0" borderId="0" xfId="0" applyFont="1"/>
    <xf numFmtId="1" fontId="26" fillId="7" borderId="10" xfId="0" applyNumberFormat="1" applyFont="1" applyFill="1" applyBorder="1"/>
    <xf numFmtId="0" fontId="26" fillId="17" borderId="10" xfId="0" applyFont="1" applyFill="1" applyBorder="1"/>
    <xf numFmtId="0" fontId="27" fillId="18" borderId="10" xfId="0" applyFont="1" applyFill="1" applyBorder="1"/>
    <xf numFmtId="0" fontId="26" fillId="7" borderId="10" xfId="0" applyFont="1" applyFill="1" applyBorder="1"/>
    <xf numFmtId="0" fontId="27" fillId="19" borderId="10" xfId="0" applyFont="1" applyFill="1" applyBorder="1"/>
    <xf numFmtId="0" fontId="27" fillId="20" borderId="10" xfId="0" applyFont="1" applyFill="1" applyBorder="1"/>
    <xf numFmtId="0" fontId="27" fillId="2" borderId="10" xfId="0" applyFont="1" applyFill="1" applyBorder="1"/>
    <xf numFmtId="1" fontId="13" fillId="0" borderId="0" xfId="0" applyNumberFormat="1" applyFont="1"/>
    <xf numFmtId="2" fontId="13" fillId="0" borderId="0" xfId="0" applyNumberFormat="1" applyFont="1"/>
    <xf numFmtId="0" fontId="28" fillId="0" borderId="0" xfId="0" applyFont="1"/>
    <xf numFmtId="0" fontId="29" fillId="0" borderId="0" xfId="0" applyFont="1"/>
    <xf numFmtId="0" fontId="30" fillId="0" borderId="0" xfId="0" applyFont="1"/>
    <xf numFmtId="0" fontId="31" fillId="0" borderId="0" xfId="0" applyFont="1"/>
    <xf numFmtId="2" fontId="32" fillId="0" borderId="0" xfId="0" applyNumberFormat="1" applyFont="1"/>
    <xf numFmtId="1" fontId="9" fillId="0" borderId="0" xfId="0" applyNumberFormat="1" applyFont="1"/>
    <xf numFmtId="0" fontId="33" fillId="0" borderId="0" xfId="0" applyFont="1"/>
    <xf numFmtId="0" fontId="13" fillId="21" borderId="10" xfId="0" applyFont="1" applyFill="1" applyBorder="1"/>
    <xf numFmtId="168" fontId="34" fillId="0" borderId="0" xfId="0" applyNumberFormat="1" applyFont="1"/>
    <xf numFmtId="4" fontId="13" fillId="0" borderId="0" xfId="0" applyNumberFormat="1" applyFont="1"/>
    <xf numFmtId="169" fontId="29" fillId="0" borderId="0" xfId="0" applyNumberFormat="1" applyFont="1"/>
    <xf numFmtId="2" fontId="29" fillId="0" borderId="0" xfId="0" applyNumberFormat="1" applyFont="1"/>
    <xf numFmtId="2" fontId="34" fillId="0" borderId="0" xfId="0" applyNumberFormat="1" applyFont="1"/>
    <xf numFmtId="168" fontId="35" fillId="0" borderId="0" xfId="0" applyNumberFormat="1" applyFont="1"/>
    <xf numFmtId="170" fontId="28" fillId="0" borderId="0" xfId="0" applyNumberFormat="1" applyFont="1"/>
    <xf numFmtId="2" fontId="31" fillId="0" borderId="0" xfId="0" applyNumberFormat="1" applyFont="1"/>
    <xf numFmtId="4" fontId="9" fillId="0" borderId="0" xfId="0" applyNumberFormat="1" applyFont="1"/>
    <xf numFmtId="0" fontId="26" fillId="22" borderId="10" xfId="0" applyFont="1" applyFill="1" applyBorder="1"/>
    <xf numFmtId="171" fontId="26" fillId="9" borderId="10" xfId="0" applyNumberFormat="1" applyFont="1" applyFill="1" applyBorder="1"/>
    <xf numFmtId="0" fontId="27" fillId="23" borderId="10" xfId="0" applyFont="1" applyFill="1" applyBorder="1"/>
    <xf numFmtId="0" fontId="27" fillId="24" borderId="10" xfId="0" applyFont="1" applyFill="1" applyBorder="1"/>
    <xf numFmtId="0" fontId="27" fillId="25" borderId="10" xfId="0" applyFont="1" applyFill="1" applyBorder="1"/>
    <xf numFmtId="0" fontId="26" fillId="9" borderId="10" xfId="0" applyFont="1" applyFill="1" applyBorder="1"/>
    <xf numFmtId="171" fontId="26" fillId="22" borderId="10" xfId="0" applyNumberFormat="1" applyFont="1" applyFill="1" applyBorder="1"/>
    <xf numFmtId="3" fontId="26" fillId="9" borderId="10" xfId="0" applyNumberFormat="1" applyFont="1" applyFill="1" applyBorder="1"/>
    <xf numFmtId="0" fontId="13" fillId="19" borderId="10" xfId="0" applyFont="1" applyFill="1" applyBorder="1"/>
    <xf numFmtId="171" fontId="13" fillId="0" borderId="0" xfId="0" applyNumberFormat="1" applyFont="1"/>
    <xf numFmtId="3" fontId="13" fillId="0" borderId="0" xfId="0" applyNumberFormat="1" applyFont="1"/>
    <xf numFmtId="0" fontId="13" fillId="26" borderId="10" xfId="0" applyFont="1" applyFill="1" applyBorder="1"/>
    <xf numFmtId="170" fontId="13" fillId="0" borderId="0" xfId="0" applyNumberFormat="1" applyFont="1"/>
    <xf numFmtId="170" fontId="31" fillId="0" borderId="0" xfId="0" applyNumberFormat="1" applyFont="1"/>
    <xf numFmtId="172" fontId="13" fillId="0" borderId="0" xfId="0" applyNumberFormat="1" applyFont="1"/>
    <xf numFmtId="11" fontId="13" fillId="0" borderId="0" xfId="0" applyNumberFormat="1" applyFont="1"/>
    <xf numFmtId="0" fontId="13" fillId="0" borderId="0" xfId="0" applyFont="1" applyAlignment="1">
      <alignment wrapText="1"/>
    </xf>
    <xf numFmtId="168" fontId="29" fillId="0" borderId="0" xfId="0" applyNumberFormat="1" applyFont="1"/>
    <xf numFmtId="168" fontId="13" fillId="0" borderId="0" xfId="0" applyNumberFormat="1" applyFont="1"/>
    <xf numFmtId="0" fontId="36" fillId="0" borderId="0" xfId="0" applyFont="1"/>
    <xf numFmtId="0" fontId="20" fillId="18" borderId="10" xfId="0" applyFont="1" applyFill="1" applyBorder="1" applyAlignment="1">
      <alignment horizontal="center" vertical="top" wrapText="1"/>
    </xf>
    <xf numFmtId="0" fontId="27" fillId="0" borderId="0" xfId="0" applyFont="1" applyAlignment="1">
      <alignment vertical="top" wrapText="1"/>
    </xf>
    <xf numFmtId="0" fontId="27" fillId="27" borderId="10" xfId="0" applyFont="1" applyFill="1" applyBorder="1" applyAlignment="1">
      <alignment vertical="top" wrapText="1"/>
    </xf>
    <xf numFmtId="0" fontId="27" fillId="28" borderId="10" xfId="0" applyFont="1" applyFill="1" applyBorder="1" applyAlignment="1">
      <alignment vertical="top" wrapText="1"/>
    </xf>
    <xf numFmtId="0" fontId="27" fillId="0" borderId="0" xfId="0" applyFont="1"/>
    <xf numFmtId="0" fontId="27" fillId="23" borderId="10" xfId="0" applyFont="1" applyFill="1" applyBorder="1" applyAlignment="1">
      <alignment vertical="top" wrapText="1"/>
    </xf>
    <xf numFmtId="0" fontId="37" fillId="18" borderId="10" xfId="0" applyFont="1" applyFill="1" applyBorder="1"/>
    <xf numFmtId="0" fontId="38" fillId="29" borderId="10" xfId="0" applyFont="1" applyFill="1" applyBorder="1"/>
    <xf numFmtId="164" fontId="41" fillId="9" borderId="10" xfId="0" applyNumberFormat="1" applyFont="1" applyFill="1" applyBorder="1"/>
    <xf numFmtId="164" fontId="41" fillId="4" borderId="10" xfId="0" applyNumberFormat="1" applyFont="1" applyFill="1" applyBorder="1"/>
    <xf numFmtId="164" fontId="41" fillId="32" borderId="10" xfId="0" applyNumberFormat="1" applyFont="1" applyFill="1" applyBorder="1"/>
    <xf numFmtId="164" fontId="42" fillId="6" borderId="10" xfId="0" applyNumberFormat="1" applyFont="1" applyFill="1" applyBorder="1"/>
    <xf numFmtId="164" fontId="42" fillId="25" borderId="10" xfId="0" applyNumberFormat="1" applyFont="1" applyFill="1" applyBorder="1"/>
    <xf numFmtId="164" fontId="39" fillId="9" borderId="10" xfId="0" applyNumberFormat="1" applyFont="1" applyFill="1" applyBorder="1"/>
    <xf numFmtId="164" fontId="43" fillId="17" borderId="10" xfId="0" applyNumberFormat="1" applyFont="1" applyFill="1" applyBorder="1"/>
    <xf numFmtId="164" fontId="43" fillId="20" borderId="10" xfId="0" applyNumberFormat="1" applyFont="1" applyFill="1" applyBorder="1"/>
    <xf numFmtId="164" fontId="42" fillId="2" borderId="10" xfId="0" applyNumberFormat="1" applyFont="1" applyFill="1" applyBorder="1"/>
    <xf numFmtId="164" fontId="42" fillId="18" borderId="10" xfId="0" applyNumberFormat="1" applyFont="1" applyFill="1" applyBorder="1"/>
    <xf numFmtId="164" fontId="39" fillId="17" borderId="10" xfId="0" applyNumberFormat="1" applyFont="1" applyFill="1" applyBorder="1"/>
    <xf numFmtId="0" fontId="15" fillId="26" borderId="9" xfId="0" applyFont="1" applyFill="1" applyBorder="1"/>
    <xf numFmtId="166" fontId="44" fillId="33" borderId="22" xfId="0" applyNumberFormat="1" applyFont="1" applyFill="1" applyBorder="1"/>
    <xf numFmtId="169" fontId="15" fillId="34" borderId="10" xfId="0" applyNumberFormat="1" applyFont="1" applyFill="1" applyBorder="1"/>
    <xf numFmtId="1" fontId="15" fillId="34" borderId="10" xfId="0" applyNumberFormat="1" applyFont="1" applyFill="1" applyBorder="1"/>
    <xf numFmtId="169" fontId="15" fillId="34" borderId="27" xfId="0" applyNumberFormat="1" applyFont="1" applyFill="1" applyBorder="1"/>
    <xf numFmtId="164" fontId="15" fillId="34" borderId="27" xfId="0" applyNumberFormat="1" applyFont="1" applyFill="1" applyBorder="1"/>
    <xf numFmtId="169" fontId="15" fillId="26" borderId="10" xfId="0" applyNumberFormat="1" applyFont="1" applyFill="1" applyBorder="1"/>
    <xf numFmtId="169" fontId="15" fillId="26" borderId="20" xfId="0" applyNumberFormat="1" applyFont="1" applyFill="1" applyBorder="1"/>
    <xf numFmtId="164" fontId="15" fillId="34" borderId="28" xfId="0" applyNumberFormat="1" applyFont="1" applyFill="1" applyBorder="1"/>
    <xf numFmtId="0" fontId="45" fillId="26" borderId="9" xfId="0" applyFont="1" applyFill="1" applyBorder="1"/>
    <xf numFmtId="169" fontId="15" fillId="0" borderId="0" xfId="0" applyNumberFormat="1" applyFont="1"/>
    <xf numFmtId="0" fontId="15" fillId="0" borderId="29" xfId="0" applyFont="1" applyBorder="1"/>
    <xf numFmtId="166" fontId="44" fillId="18" borderId="22" xfId="0" applyNumberFormat="1" applyFont="1" applyFill="1" applyBorder="1"/>
    <xf numFmtId="166" fontId="45" fillId="35" borderId="22" xfId="0" applyNumberFormat="1" applyFont="1" applyFill="1" applyBorder="1"/>
    <xf numFmtId="166" fontId="15" fillId="6" borderId="22" xfId="0" applyNumberFormat="1" applyFont="1" applyFill="1" applyBorder="1"/>
    <xf numFmtId="166" fontId="45" fillId="36" borderId="22" xfId="0" applyNumberFormat="1" applyFont="1" applyFill="1" applyBorder="1"/>
    <xf numFmtId="166" fontId="15" fillId="16" borderId="22" xfId="0" applyNumberFormat="1" applyFont="1" applyFill="1" applyBorder="1"/>
    <xf numFmtId="166" fontId="45" fillId="37" borderId="22" xfId="0" applyNumberFormat="1" applyFont="1" applyFill="1" applyBorder="1"/>
    <xf numFmtId="166" fontId="15" fillId="38" borderId="22" xfId="0" applyNumberFormat="1" applyFont="1" applyFill="1" applyBorder="1"/>
    <xf numFmtId="166" fontId="45" fillId="4" borderId="22" xfId="0" applyNumberFormat="1" applyFont="1" applyFill="1" applyBorder="1"/>
    <xf numFmtId="1" fontId="15" fillId="26" borderId="10" xfId="0" applyNumberFormat="1" applyFont="1" applyFill="1" applyBorder="1"/>
    <xf numFmtId="166" fontId="44" fillId="39" borderId="22" xfId="0" applyNumberFormat="1" applyFont="1" applyFill="1" applyBorder="1"/>
    <xf numFmtId="166" fontId="15" fillId="40" borderId="22" xfId="0" applyNumberFormat="1" applyFont="1" applyFill="1" applyBorder="1"/>
    <xf numFmtId="166" fontId="45" fillId="7" borderId="22" xfId="0" applyNumberFormat="1" applyFont="1" applyFill="1" applyBorder="1"/>
    <xf numFmtId="166" fontId="45" fillId="7" borderId="20" xfId="0" applyNumberFormat="1" applyFont="1" applyFill="1" applyBorder="1"/>
    <xf numFmtId="0" fontId="46" fillId="0" borderId="0" xfId="0" applyFont="1"/>
    <xf numFmtId="0" fontId="47" fillId="0" borderId="30" xfId="0" applyFont="1" applyBorder="1"/>
    <xf numFmtId="169" fontId="47" fillId="34" borderId="31" xfId="0" applyNumberFormat="1" applyFont="1" applyFill="1" applyBorder="1"/>
    <xf numFmtId="1" fontId="47" fillId="34" borderId="31" xfId="0" applyNumberFormat="1" applyFont="1" applyFill="1" applyBorder="1"/>
    <xf numFmtId="169" fontId="47" fillId="34" borderId="32" xfId="0" applyNumberFormat="1" applyFont="1" applyFill="1" applyBorder="1"/>
    <xf numFmtId="169" fontId="47" fillId="34" borderId="33" xfId="0" applyNumberFormat="1" applyFont="1" applyFill="1" applyBorder="1"/>
    <xf numFmtId="164" fontId="47" fillId="34" borderId="32" xfId="0" applyNumberFormat="1" applyFont="1" applyFill="1" applyBorder="1"/>
    <xf numFmtId="169" fontId="23" fillId="0" borderId="34" xfId="0" applyNumberFormat="1" applyFont="1" applyBorder="1"/>
    <xf numFmtId="169" fontId="23" fillId="0" borderId="35" xfId="0" applyNumberFormat="1" applyFont="1" applyBorder="1"/>
    <xf numFmtId="173" fontId="15" fillId="0" borderId="0" xfId="0" applyNumberFormat="1" applyFont="1"/>
    <xf numFmtId="171" fontId="15" fillId="0" borderId="0" xfId="0" applyNumberFormat="1" applyFont="1"/>
    <xf numFmtId="0" fontId="23" fillId="0" borderId="0" xfId="0" applyFont="1"/>
    <xf numFmtId="174" fontId="15" fillId="0" borderId="0" xfId="0" applyNumberFormat="1" applyFont="1"/>
    <xf numFmtId="164" fontId="15" fillId="0" borderId="0" xfId="0" applyNumberFormat="1" applyFont="1"/>
    <xf numFmtId="167" fontId="15" fillId="0" borderId="0" xfId="0" applyNumberFormat="1" applyFont="1"/>
    <xf numFmtId="171" fontId="48" fillId="41" borderId="10" xfId="0" applyNumberFormat="1" applyFont="1" applyFill="1" applyBorder="1"/>
    <xf numFmtId="171" fontId="22" fillId="0" borderId="0" xfId="0" applyNumberFormat="1" applyFont="1"/>
    <xf numFmtId="175" fontId="15" fillId="0" borderId="0" xfId="0" applyNumberFormat="1" applyFont="1"/>
    <xf numFmtId="164" fontId="50" fillId="2" borderId="11" xfId="0" applyNumberFormat="1" applyFont="1" applyFill="1" applyBorder="1" applyAlignment="1">
      <alignment horizontal="center" vertical="center" wrapText="1"/>
    </xf>
    <xf numFmtId="166" fontId="20" fillId="18" borderId="28" xfId="0" applyNumberFormat="1" applyFont="1" applyFill="1" applyBorder="1"/>
    <xf numFmtId="164" fontId="20" fillId="0" borderId="38" xfId="0" applyNumberFormat="1" applyFont="1" applyBorder="1"/>
    <xf numFmtId="164" fontId="20" fillId="0" borderId="39" xfId="0" applyNumberFormat="1" applyFont="1" applyBorder="1"/>
    <xf numFmtId="164" fontId="20" fillId="0" borderId="40" xfId="0" applyNumberFormat="1" applyFont="1" applyBorder="1"/>
    <xf numFmtId="164" fontId="20" fillId="18" borderId="27" xfId="0" applyNumberFormat="1" applyFont="1" applyFill="1" applyBorder="1"/>
    <xf numFmtId="164" fontId="39" fillId="7" borderId="10" xfId="0" applyNumberFormat="1" applyFont="1" applyFill="1" applyBorder="1"/>
    <xf numFmtId="164" fontId="41" fillId="20" borderId="10" xfId="0" applyNumberFormat="1" applyFont="1" applyFill="1" applyBorder="1"/>
    <xf numFmtId="164" fontId="40" fillId="2" borderId="10" xfId="0" applyNumberFormat="1" applyFont="1" applyFill="1" applyBorder="1"/>
    <xf numFmtId="166" fontId="15" fillId="34" borderId="27" xfId="0" applyNumberFormat="1" applyFont="1" applyFill="1" applyBorder="1"/>
    <xf numFmtId="164" fontId="15" fillId="26" borderId="10" xfId="0" applyNumberFormat="1" applyFont="1" applyFill="1" applyBorder="1"/>
    <xf numFmtId="164" fontId="15" fillId="34" borderId="10" xfId="0" applyNumberFormat="1" applyFont="1" applyFill="1" applyBorder="1"/>
    <xf numFmtId="164" fontId="15" fillId="34" borderId="41" xfId="0" applyNumberFormat="1" applyFont="1" applyFill="1" applyBorder="1"/>
    <xf numFmtId="164" fontId="15" fillId="0" borderId="43" xfId="0" applyNumberFormat="1" applyFont="1" applyBorder="1"/>
    <xf numFmtId="174" fontId="15" fillId="34" borderId="10" xfId="0" applyNumberFormat="1" applyFont="1" applyFill="1" applyBorder="1"/>
    <xf numFmtId="164" fontId="44" fillId="0" borderId="0" xfId="0" applyNumberFormat="1" applyFont="1"/>
    <xf numFmtId="166" fontId="52" fillId="18" borderId="44" xfId="0" applyNumberFormat="1" applyFont="1" applyFill="1" applyBorder="1"/>
    <xf numFmtId="164" fontId="52" fillId="18" borderId="45" xfId="0" applyNumberFormat="1" applyFont="1" applyFill="1" applyBorder="1"/>
    <xf numFmtId="164" fontId="52" fillId="18" borderId="46" xfId="0" applyNumberFormat="1" applyFont="1" applyFill="1" applyBorder="1"/>
    <xf numFmtId="164" fontId="52" fillId="18" borderId="47" xfId="0" applyNumberFormat="1" applyFont="1" applyFill="1" applyBorder="1"/>
    <xf numFmtId="164" fontId="52" fillId="18" borderId="44" xfId="0" applyNumberFormat="1" applyFont="1" applyFill="1" applyBorder="1"/>
    <xf numFmtId="0" fontId="53" fillId="0" borderId="0" xfId="0" applyFont="1"/>
    <xf numFmtId="166" fontId="15" fillId="26" borderId="27" xfId="0" applyNumberFormat="1" applyFont="1" applyFill="1" applyBorder="1"/>
    <xf numFmtId="166" fontId="52" fillId="18" borderId="48" xfId="0" applyNumberFormat="1" applyFont="1" applyFill="1" applyBorder="1"/>
    <xf numFmtId="164" fontId="52" fillId="18" borderId="49" xfId="0" applyNumberFormat="1" applyFont="1" applyFill="1" applyBorder="1"/>
    <xf numFmtId="164" fontId="52" fillId="18" borderId="50" xfId="0" applyNumberFormat="1" applyFont="1" applyFill="1" applyBorder="1"/>
    <xf numFmtId="164" fontId="52" fillId="18" borderId="51" xfId="0" applyNumberFormat="1" applyFont="1" applyFill="1" applyBorder="1"/>
    <xf numFmtId="164" fontId="52" fillId="18" borderId="48" xfId="0" applyNumberFormat="1" applyFont="1" applyFill="1" applyBorder="1"/>
    <xf numFmtId="166" fontId="52" fillId="18" borderId="27" xfId="0" applyNumberFormat="1" applyFont="1" applyFill="1" applyBorder="1"/>
    <xf numFmtId="164" fontId="52" fillId="18" borderId="10" xfId="0" applyNumberFormat="1" applyFont="1" applyFill="1" applyBorder="1"/>
    <xf numFmtId="164" fontId="52" fillId="18" borderId="41" xfId="0" applyNumberFormat="1" applyFont="1" applyFill="1" applyBorder="1"/>
    <xf numFmtId="164" fontId="52" fillId="18" borderId="28" xfId="0" applyNumberFormat="1" applyFont="1" applyFill="1" applyBorder="1"/>
    <xf numFmtId="164" fontId="52" fillId="18" borderId="27" xfId="0" applyNumberFormat="1" applyFont="1" applyFill="1" applyBorder="1"/>
    <xf numFmtId="0" fontId="47" fillId="2" borderId="32" xfId="0" applyFont="1" applyFill="1" applyBorder="1"/>
    <xf numFmtId="164" fontId="47" fillId="2" borderId="31" xfId="0" applyNumberFormat="1" applyFont="1" applyFill="1" applyBorder="1"/>
    <xf numFmtId="164" fontId="47" fillId="2" borderId="52" xfId="0" applyNumberFormat="1" applyFont="1" applyFill="1" applyBorder="1"/>
    <xf numFmtId="164" fontId="47" fillId="2" borderId="53" xfId="0" applyNumberFormat="1" applyFont="1" applyFill="1" applyBorder="1"/>
    <xf numFmtId="164" fontId="47" fillId="2" borderId="32" xfId="0" applyNumberFormat="1" applyFont="1" applyFill="1" applyBorder="1"/>
    <xf numFmtId="0" fontId="47" fillId="0" borderId="0" xfId="0" applyFont="1"/>
    <xf numFmtId="0" fontId="15" fillId="0" borderId="0" xfId="0" applyFont="1" applyAlignment="1">
      <alignment wrapText="1"/>
    </xf>
    <xf numFmtId="176" fontId="13" fillId="0" borderId="0" xfId="0" applyNumberFormat="1" applyFont="1"/>
    <xf numFmtId="176" fontId="54" fillId="0" borderId="0" xfId="0" applyNumberFormat="1" applyFont="1"/>
    <xf numFmtId="177" fontId="15" fillId="26" borderId="56" xfId="0" applyNumberFormat="1" applyFont="1" applyFill="1" applyBorder="1"/>
    <xf numFmtId="164" fontId="15" fillId="34" borderId="57" xfId="0" applyNumberFormat="1" applyFont="1" applyFill="1" applyBorder="1"/>
    <xf numFmtId="1" fontId="15" fillId="34" borderId="57" xfId="0" applyNumberFormat="1" applyFont="1" applyFill="1" applyBorder="1"/>
    <xf numFmtId="164" fontId="15" fillId="34" borderId="27" xfId="0" applyNumberFormat="1" applyFont="1" applyFill="1" applyBorder="1" applyAlignment="1">
      <alignment horizontal="right"/>
    </xf>
    <xf numFmtId="164" fontId="55" fillId="34" borderId="56" xfId="0" applyNumberFormat="1" applyFont="1" applyFill="1" applyBorder="1"/>
    <xf numFmtId="177" fontId="15" fillId="26" borderId="27" xfId="0" applyNumberFormat="1" applyFont="1" applyFill="1" applyBorder="1"/>
    <xf numFmtId="164" fontId="55" fillId="34" borderId="27" xfId="0" applyNumberFormat="1" applyFont="1" applyFill="1" applyBorder="1"/>
    <xf numFmtId="164" fontId="23" fillId="18" borderId="60" xfId="0" applyNumberFormat="1" applyFont="1" applyFill="1" applyBorder="1"/>
    <xf numFmtId="164" fontId="23" fillId="18" borderId="61" xfId="0" applyNumberFormat="1" applyFont="1" applyFill="1" applyBorder="1" applyAlignment="1">
      <alignment horizontal="right"/>
    </xf>
    <xf numFmtId="1" fontId="23" fillId="18" borderId="61" xfId="0" applyNumberFormat="1" applyFont="1" applyFill="1" applyBorder="1"/>
    <xf numFmtId="164" fontId="23" fillId="18" borderId="61" xfId="0" applyNumberFormat="1" applyFont="1" applyFill="1" applyBorder="1"/>
    <xf numFmtId="164" fontId="23" fillId="18" borderId="60" xfId="0" applyNumberFormat="1" applyFont="1" applyFill="1" applyBorder="1" applyAlignment="1">
      <alignment horizontal="right"/>
    </xf>
    <xf numFmtId="164" fontId="55" fillId="18" borderId="60" xfId="0" applyNumberFormat="1" applyFont="1" applyFill="1" applyBorder="1"/>
    <xf numFmtId="164" fontId="15" fillId="26" borderId="62" xfId="0" applyNumberFormat="1" applyFont="1" applyFill="1" applyBorder="1"/>
    <xf numFmtId="164" fontId="15" fillId="26" borderId="26" xfId="0" applyNumberFormat="1" applyFont="1" applyFill="1" applyBorder="1"/>
    <xf numFmtId="1" fontId="15" fillId="26" borderId="26" xfId="0" applyNumberFormat="1" applyFont="1" applyFill="1" applyBorder="1"/>
    <xf numFmtId="164" fontId="15" fillId="34" borderId="26" xfId="0" applyNumberFormat="1" applyFont="1" applyFill="1" applyBorder="1"/>
    <xf numFmtId="164" fontId="15" fillId="34" borderId="62" xfId="0" applyNumberFormat="1" applyFont="1" applyFill="1" applyBorder="1" applyAlignment="1">
      <alignment horizontal="right"/>
    </xf>
    <xf numFmtId="164" fontId="15" fillId="34" borderId="62" xfId="0" applyNumberFormat="1" applyFont="1" applyFill="1" applyBorder="1"/>
    <xf numFmtId="164" fontId="55" fillId="34" borderId="62" xfId="0" applyNumberFormat="1" applyFont="1" applyFill="1" applyBorder="1"/>
    <xf numFmtId="164" fontId="15" fillId="26" borderId="27" xfId="0" applyNumberFormat="1" applyFont="1" applyFill="1" applyBorder="1"/>
    <xf numFmtId="1" fontId="23" fillId="18" borderId="61" xfId="0" applyNumberFormat="1" applyFont="1" applyFill="1" applyBorder="1" applyAlignment="1">
      <alignment horizontal="right"/>
    </xf>
    <xf numFmtId="1" fontId="15" fillId="34" borderId="26" xfId="0" applyNumberFormat="1" applyFont="1" applyFill="1" applyBorder="1"/>
    <xf numFmtId="164" fontId="44" fillId="34" borderId="62" xfId="0" applyNumberFormat="1" applyFont="1" applyFill="1" applyBorder="1"/>
    <xf numFmtId="164" fontId="22" fillId="18" borderId="60" xfId="0" applyNumberFormat="1" applyFont="1" applyFill="1" applyBorder="1"/>
    <xf numFmtId="164" fontId="22" fillId="18" borderId="61" xfId="0" applyNumberFormat="1" applyFont="1" applyFill="1" applyBorder="1" applyAlignment="1">
      <alignment horizontal="right"/>
    </xf>
    <xf numFmtId="1" fontId="22" fillId="18" borderId="61" xfId="0" applyNumberFormat="1" applyFont="1" applyFill="1" applyBorder="1" applyAlignment="1">
      <alignment horizontal="right"/>
    </xf>
    <xf numFmtId="164" fontId="22" fillId="18" borderId="60" xfId="0" applyNumberFormat="1" applyFont="1" applyFill="1" applyBorder="1" applyAlignment="1">
      <alignment horizontal="right"/>
    </xf>
    <xf numFmtId="164" fontId="55" fillId="18" borderId="66" xfId="0" applyNumberFormat="1" applyFont="1" applyFill="1" applyBorder="1"/>
    <xf numFmtId="164" fontId="15" fillId="34" borderId="68" xfId="0" applyNumberFormat="1" applyFont="1" applyFill="1" applyBorder="1"/>
    <xf numFmtId="164" fontId="15" fillId="34" borderId="16" xfId="0" applyNumberFormat="1" applyFont="1" applyFill="1" applyBorder="1" applyAlignment="1">
      <alignment horizontal="right"/>
    </xf>
    <xf numFmtId="164" fontId="23" fillId="18" borderId="69" xfId="0" applyNumberFormat="1" applyFont="1" applyFill="1" applyBorder="1" applyAlignment="1">
      <alignment horizontal="right"/>
    </xf>
    <xf numFmtId="164" fontId="55" fillId="18" borderId="70" xfId="0" applyNumberFormat="1" applyFont="1" applyFill="1" applyBorder="1"/>
    <xf numFmtId="164" fontId="15" fillId="34" borderId="41" xfId="0" applyNumberFormat="1" applyFont="1" applyFill="1" applyBorder="1" applyAlignment="1">
      <alignment horizontal="right"/>
    </xf>
    <xf numFmtId="164" fontId="23" fillId="18" borderId="71" xfId="0" applyNumberFormat="1" applyFont="1" applyFill="1" applyBorder="1"/>
    <xf numFmtId="164" fontId="23" fillId="18" borderId="72" xfId="0" applyNumberFormat="1" applyFont="1" applyFill="1" applyBorder="1" applyAlignment="1">
      <alignment horizontal="right"/>
    </xf>
    <xf numFmtId="1" fontId="23" fillId="18" borderId="73" xfId="0" applyNumberFormat="1" applyFont="1" applyFill="1" applyBorder="1"/>
    <xf numFmtId="164" fontId="23" fillId="18" borderId="73" xfId="0" applyNumberFormat="1" applyFont="1" applyFill="1" applyBorder="1"/>
    <xf numFmtId="164" fontId="23" fillId="18" borderId="73" xfId="0" applyNumberFormat="1" applyFont="1" applyFill="1" applyBorder="1" applyAlignment="1">
      <alignment horizontal="right"/>
    </xf>
    <xf numFmtId="164" fontId="23" fillId="18" borderId="71" xfId="0" applyNumberFormat="1" applyFont="1" applyFill="1" applyBorder="1" applyAlignment="1">
      <alignment horizontal="right"/>
    </xf>
    <xf numFmtId="164" fontId="46" fillId="42" borderId="34" xfId="0" applyNumberFormat="1" applyFont="1" applyFill="1" applyBorder="1" applyAlignment="1">
      <alignment horizontal="center" vertical="center"/>
    </xf>
    <xf numFmtId="164" fontId="47" fillId="2" borderId="31" xfId="0" applyNumberFormat="1" applyFont="1" applyFill="1" applyBorder="1" applyAlignment="1">
      <alignment horizontal="right"/>
    </xf>
    <xf numFmtId="164" fontId="47" fillId="2" borderId="52" xfId="0" applyNumberFormat="1" applyFont="1" applyFill="1" applyBorder="1" applyAlignment="1">
      <alignment horizontal="right"/>
    </xf>
    <xf numFmtId="0" fontId="13" fillId="0" borderId="43" xfId="0" applyFont="1" applyBorder="1"/>
    <xf numFmtId="164" fontId="40" fillId="20" borderId="10" xfId="0" applyNumberFormat="1" applyFont="1" applyFill="1" applyBorder="1"/>
    <xf numFmtId="164" fontId="13" fillId="0" borderId="0" xfId="0" applyNumberFormat="1" applyFont="1"/>
    <xf numFmtId="164" fontId="42" fillId="20" borderId="10" xfId="0" applyNumberFormat="1" applyFont="1" applyFill="1" applyBorder="1"/>
    <xf numFmtId="164" fontId="45" fillId="0" borderId="0" xfId="0" applyNumberFormat="1" applyFont="1"/>
    <xf numFmtId="164" fontId="40" fillId="34" borderId="56" xfId="0" applyNumberFormat="1" applyFont="1" applyFill="1" applyBorder="1" applyAlignment="1">
      <alignment wrapText="1"/>
    </xf>
    <xf numFmtId="164" fontId="15" fillId="26" borderId="57" xfId="0" applyNumberFormat="1" applyFont="1" applyFill="1" applyBorder="1" applyAlignment="1">
      <alignment horizontal="right"/>
    </xf>
    <xf numFmtId="164" fontId="15" fillId="34" borderId="57" xfId="0" applyNumberFormat="1" applyFont="1" applyFill="1" applyBorder="1" applyAlignment="1">
      <alignment horizontal="right"/>
    </xf>
    <xf numFmtId="164" fontId="15" fillId="34" borderId="56" xfId="0" applyNumberFormat="1" applyFont="1" applyFill="1" applyBorder="1" applyAlignment="1">
      <alignment horizontal="right"/>
    </xf>
    <xf numFmtId="164" fontId="15" fillId="26" borderId="57" xfId="0" applyNumberFormat="1" applyFont="1" applyFill="1" applyBorder="1"/>
    <xf numFmtId="164" fontId="40" fillId="34" borderId="27" xfId="0" applyNumberFormat="1" applyFont="1" applyFill="1" applyBorder="1"/>
    <xf numFmtId="164" fontId="56" fillId="18" borderId="60" xfId="0" applyNumberFormat="1" applyFont="1" applyFill="1" applyBorder="1"/>
    <xf numFmtId="164" fontId="23" fillId="0" borderId="0" xfId="0" applyNumberFormat="1" applyFont="1" applyAlignment="1">
      <alignment horizontal="right"/>
    </xf>
    <xf numFmtId="164" fontId="40" fillId="34" borderId="62" xfId="0" applyNumberFormat="1" applyFont="1" applyFill="1" applyBorder="1"/>
    <xf numFmtId="164" fontId="15" fillId="0" borderId="39" xfId="0" applyNumberFormat="1" applyFont="1" applyBorder="1"/>
    <xf numFmtId="164" fontId="40" fillId="34" borderId="28" xfId="0" applyNumberFormat="1" applyFont="1" applyFill="1" applyBorder="1"/>
    <xf numFmtId="164" fontId="40" fillId="26" borderId="62" xfId="0" applyNumberFormat="1" applyFont="1" applyFill="1" applyBorder="1"/>
    <xf numFmtId="164" fontId="15" fillId="26" borderId="56" xfId="0" applyNumberFormat="1" applyFont="1" applyFill="1" applyBorder="1"/>
    <xf numFmtId="164" fontId="15" fillId="26" borderId="74" xfId="0" applyNumberFormat="1" applyFont="1" applyFill="1" applyBorder="1"/>
    <xf numFmtId="164" fontId="23" fillId="26" borderId="10" xfId="0" applyNumberFormat="1" applyFont="1" applyFill="1" applyBorder="1" applyAlignment="1">
      <alignment horizontal="right"/>
    </xf>
    <xf numFmtId="164" fontId="13" fillId="26" borderId="10" xfId="0" applyNumberFormat="1" applyFont="1" applyFill="1" applyBorder="1"/>
    <xf numFmtId="164" fontId="40" fillId="26" borderId="27" xfId="0" applyNumberFormat="1" applyFont="1" applyFill="1" applyBorder="1"/>
    <xf numFmtId="164" fontId="15" fillId="26" borderId="41" xfId="0" applyNumberFormat="1" applyFont="1" applyFill="1" applyBorder="1"/>
    <xf numFmtId="164" fontId="23" fillId="26" borderId="41" xfId="0" applyNumberFormat="1" applyFont="1" applyFill="1" applyBorder="1" applyAlignment="1">
      <alignment horizontal="right"/>
    </xf>
    <xf numFmtId="164" fontId="23" fillId="18" borderId="69" xfId="0" applyNumberFormat="1" applyFont="1" applyFill="1" applyBorder="1"/>
    <xf numFmtId="164" fontId="23" fillId="18" borderId="66" xfId="0" applyNumberFormat="1" applyFont="1" applyFill="1" applyBorder="1"/>
    <xf numFmtId="164" fontId="15" fillId="26" borderId="68" xfId="0" applyNumberFormat="1" applyFont="1" applyFill="1" applyBorder="1"/>
    <xf numFmtId="164" fontId="23" fillId="0" borderId="43" xfId="0" applyNumberFormat="1" applyFont="1" applyBorder="1" applyAlignment="1">
      <alignment horizontal="right"/>
    </xf>
    <xf numFmtId="164" fontId="15" fillId="26" borderId="75" xfId="0" applyNumberFormat="1" applyFont="1" applyFill="1" applyBorder="1"/>
    <xf numFmtId="164" fontId="46" fillId="0" borderId="43" xfId="0" applyNumberFormat="1" applyFont="1" applyBorder="1"/>
    <xf numFmtId="164" fontId="46" fillId="0" borderId="0" xfId="0" applyNumberFormat="1" applyFont="1"/>
    <xf numFmtId="164" fontId="13" fillId="0" borderId="43" xfId="0" applyNumberFormat="1" applyFont="1" applyBorder="1"/>
    <xf numFmtId="164" fontId="15" fillId="34" borderId="26" xfId="0" applyNumberFormat="1" applyFont="1" applyFill="1" applyBorder="1" applyAlignment="1">
      <alignment horizontal="right"/>
    </xf>
    <xf numFmtId="164" fontId="15" fillId="34" borderId="75" xfId="0" applyNumberFormat="1" applyFont="1" applyFill="1" applyBorder="1"/>
    <xf numFmtId="164" fontId="15" fillId="34" borderId="10" xfId="0" applyNumberFormat="1" applyFont="1" applyFill="1" applyBorder="1" applyAlignment="1">
      <alignment horizontal="right"/>
    </xf>
    <xf numFmtId="164" fontId="56" fillId="18" borderId="27" xfId="0" applyNumberFormat="1" applyFont="1" applyFill="1" applyBorder="1"/>
    <xf numFmtId="164" fontId="23" fillId="18" borderId="77" xfId="0" applyNumberFormat="1" applyFont="1" applyFill="1" applyBorder="1"/>
    <xf numFmtId="1" fontId="23" fillId="18" borderId="9" xfId="0" applyNumberFormat="1" applyFont="1" applyFill="1" applyBorder="1"/>
    <xf numFmtId="164" fontId="23" fillId="18" borderId="9" xfId="0" applyNumberFormat="1" applyFont="1" applyFill="1" applyBorder="1"/>
    <xf numFmtId="164" fontId="23" fillId="18" borderId="72" xfId="0" applyNumberFormat="1" applyFont="1" applyFill="1" applyBorder="1"/>
    <xf numFmtId="164" fontId="23" fillId="18" borderId="78" xfId="0" applyNumberFormat="1" applyFont="1" applyFill="1" applyBorder="1"/>
    <xf numFmtId="164" fontId="58" fillId="42" borderId="52" xfId="0" applyNumberFormat="1" applyFont="1" applyFill="1" applyBorder="1"/>
    <xf numFmtId="164" fontId="49" fillId="2" borderId="34" xfId="0" applyNumberFormat="1" applyFont="1" applyFill="1" applyBorder="1"/>
    <xf numFmtId="164" fontId="47" fillId="2" borderId="79" xfId="0" applyNumberFormat="1" applyFont="1" applyFill="1" applyBorder="1" applyAlignment="1">
      <alignment horizontal="right"/>
    </xf>
    <xf numFmtId="164" fontId="59" fillId="0" borderId="0" xfId="0" applyNumberFormat="1" applyFont="1"/>
    <xf numFmtId="164" fontId="44" fillId="34" borderId="56" xfId="0" applyNumberFormat="1" applyFont="1" applyFill="1" applyBorder="1"/>
    <xf numFmtId="164" fontId="44" fillId="34" borderId="57" xfId="0" applyNumberFormat="1" applyFont="1" applyFill="1" applyBorder="1"/>
    <xf numFmtId="164" fontId="44" fillId="34" borderId="56" xfId="0" applyNumberFormat="1" applyFont="1" applyFill="1" applyBorder="1" applyAlignment="1">
      <alignment horizontal="right"/>
    </xf>
    <xf numFmtId="164" fontId="44" fillId="34" borderId="27" xfId="0" applyNumberFormat="1" applyFont="1" applyFill="1" applyBorder="1"/>
    <xf numFmtId="164" fontId="44" fillId="34" borderId="27" xfId="0" applyNumberFormat="1" applyFont="1" applyFill="1" applyBorder="1" applyAlignment="1">
      <alignment horizontal="right"/>
    </xf>
    <xf numFmtId="164" fontId="44" fillId="34" borderId="62" xfId="0" applyNumberFormat="1" applyFont="1" applyFill="1" applyBorder="1" applyAlignment="1">
      <alignment horizontal="right"/>
    </xf>
    <xf numFmtId="164" fontId="44" fillId="34" borderId="75" xfId="0" applyNumberFormat="1" applyFont="1" applyFill="1" applyBorder="1" applyAlignment="1">
      <alignment horizontal="right"/>
    </xf>
    <xf numFmtId="174" fontId="23" fillId="18" borderId="61" xfId="0" applyNumberFormat="1" applyFont="1" applyFill="1" applyBorder="1"/>
    <xf numFmtId="174" fontId="23" fillId="18" borderId="60" xfId="0" applyNumberFormat="1" applyFont="1" applyFill="1" applyBorder="1"/>
    <xf numFmtId="164" fontId="44" fillId="26" borderId="62" xfId="0" applyNumberFormat="1" applyFont="1" applyFill="1" applyBorder="1"/>
    <xf numFmtId="164" fontId="15" fillId="26" borderId="62" xfId="0" applyNumberFormat="1" applyFont="1" applyFill="1" applyBorder="1" applyAlignment="1">
      <alignment horizontal="right"/>
    </xf>
    <xf numFmtId="164" fontId="44" fillId="26" borderId="27" xfId="0" applyNumberFormat="1" applyFont="1" applyFill="1" applyBorder="1"/>
    <xf numFmtId="164" fontId="15" fillId="26" borderId="27" xfId="0" applyNumberFormat="1" applyFont="1" applyFill="1" applyBorder="1" applyAlignment="1">
      <alignment horizontal="right"/>
    </xf>
    <xf numFmtId="164" fontId="60" fillId="42" borderId="72" xfId="0" applyNumberFormat="1" applyFont="1" applyFill="1" applyBorder="1"/>
    <xf numFmtId="164" fontId="60" fillId="2" borderId="32" xfId="0" applyNumberFormat="1" applyFont="1" applyFill="1" applyBorder="1"/>
    <xf numFmtId="164" fontId="60" fillId="2" borderId="31" xfId="0" applyNumberFormat="1" applyFont="1" applyFill="1" applyBorder="1" applyAlignment="1">
      <alignment horizontal="right"/>
    </xf>
    <xf numFmtId="165" fontId="44" fillId="34" borderId="20" xfId="0" applyNumberFormat="1" applyFont="1" applyFill="1" applyBorder="1"/>
    <xf numFmtId="164" fontId="44" fillId="26" borderId="10" xfId="0" applyNumberFormat="1" applyFont="1" applyFill="1" applyBorder="1" applyAlignment="1">
      <alignment horizontal="right"/>
    </xf>
    <xf numFmtId="164" fontId="44" fillId="34" borderId="10" xfId="0" applyNumberFormat="1" applyFont="1" applyFill="1" applyBorder="1" applyAlignment="1">
      <alignment horizontal="right"/>
    </xf>
    <xf numFmtId="164" fontId="15" fillId="34" borderId="81" xfId="0" applyNumberFormat="1" applyFont="1" applyFill="1" applyBorder="1" applyAlignment="1">
      <alignment horizontal="right"/>
    </xf>
    <xf numFmtId="164" fontId="15" fillId="34" borderId="75" xfId="0" applyNumberFormat="1" applyFont="1" applyFill="1" applyBorder="1" applyAlignment="1">
      <alignment horizontal="right"/>
    </xf>
    <xf numFmtId="164" fontId="15" fillId="34" borderId="20" xfId="0" applyNumberFormat="1" applyFont="1" applyFill="1" applyBorder="1"/>
    <xf numFmtId="165" fontId="22" fillId="18" borderId="82" xfId="0" applyNumberFormat="1" applyFont="1" applyFill="1" applyBorder="1"/>
    <xf numFmtId="164" fontId="23" fillId="0" borderId="0" xfId="0" applyNumberFormat="1" applyFont="1"/>
    <xf numFmtId="165" fontId="44" fillId="34" borderId="83" xfId="0" applyNumberFormat="1" applyFont="1" applyFill="1" applyBorder="1"/>
    <xf numFmtId="164" fontId="44" fillId="34" borderId="57" xfId="0" applyNumberFormat="1" applyFont="1" applyFill="1" applyBorder="1" applyAlignment="1">
      <alignment horizontal="right"/>
    </xf>
    <xf numFmtId="165" fontId="44" fillId="26" borderId="20" xfId="0" applyNumberFormat="1" applyFont="1" applyFill="1" applyBorder="1"/>
    <xf numFmtId="165" fontId="22" fillId="18" borderId="82" xfId="0" applyNumberFormat="1" applyFont="1" applyFill="1" applyBorder="1" applyAlignment="1">
      <alignment wrapText="1"/>
    </xf>
    <xf numFmtId="164" fontId="44" fillId="26" borderId="57" xfId="0" applyNumberFormat="1" applyFont="1" applyFill="1" applyBorder="1" applyAlignment="1">
      <alignment horizontal="right"/>
    </xf>
    <xf numFmtId="1" fontId="15" fillId="26" borderId="57" xfId="0" applyNumberFormat="1" applyFont="1" applyFill="1" applyBorder="1"/>
    <xf numFmtId="164" fontId="15" fillId="34" borderId="56" xfId="0" applyNumberFormat="1" applyFont="1" applyFill="1" applyBorder="1"/>
    <xf numFmtId="164" fontId="15" fillId="0" borderId="84" xfId="0" applyNumberFormat="1" applyFont="1" applyBorder="1"/>
    <xf numFmtId="164" fontId="15" fillId="34" borderId="5" xfId="0" applyNumberFormat="1" applyFont="1" applyFill="1" applyBorder="1" applyAlignment="1">
      <alignment horizontal="right"/>
    </xf>
    <xf numFmtId="164" fontId="15" fillId="34" borderId="85" xfId="0" applyNumberFormat="1" applyFont="1" applyFill="1" applyBorder="1" applyAlignment="1">
      <alignment horizontal="right"/>
    </xf>
    <xf numFmtId="164" fontId="15" fillId="34" borderId="86" xfId="0" applyNumberFormat="1" applyFont="1" applyFill="1" applyBorder="1" applyAlignment="1">
      <alignment horizontal="right"/>
    </xf>
    <xf numFmtId="165" fontId="22" fillId="18" borderId="20" xfId="0" applyNumberFormat="1" applyFont="1" applyFill="1" applyBorder="1"/>
    <xf numFmtId="164" fontId="23" fillId="18" borderId="10" xfId="0" applyNumberFormat="1" applyFont="1" applyFill="1" applyBorder="1"/>
    <xf numFmtId="1" fontId="23" fillId="18" borderId="10" xfId="0" applyNumberFormat="1" applyFont="1" applyFill="1" applyBorder="1"/>
    <xf numFmtId="164" fontId="23" fillId="18" borderId="27" xfId="0" applyNumberFormat="1" applyFont="1" applyFill="1" applyBorder="1"/>
    <xf numFmtId="165" fontId="61" fillId="42" borderId="72" xfId="0" applyNumberFormat="1" applyFont="1" applyFill="1" applyBorder="1"/>
    <xf numFmtId="165" fontId="60" fillId="2" borderId="30" xfId="0" applyNumberFormat="1" applyFont="1" applyFill="1" applyBorder="1"/>
    <xf numFmtId="164" fontId="40" fillId="34" borderId="27" xfId="0" applyNumberFormat="1" applyFont="1" applyFill="1" applyBorder="1" applyAlignment="1">
      <alignment wrapText="1"/>
    </xf>
    <xf numFmtId="164" fontId="15" fillId="26" borderId="10" xfId="0" applyNumberFormat="1" applyFont="1" applyFill="1" applyBorder="1" applyAlignment="1">
      <alignment horizontal="right"/>
    </xf>
    <xf numFmtId="164" fontId="40" fillId="34" borderId="56" xfId="0" applyNumberFormat="1" applyFont="1" applyFill="1" applyBorder="1"/>
    <xf numFmtId="164" fontId="60" fillId="42" borderId="52" xfId="0" applyNumberFormat="1" applyFont="1" applyFill="1" applyBorder="1"/>
    <xf numFmtId="164" fontId="62" fillId="0" borderId="0" xfId="0" applyNumberFormat="1" applyFont="1"/>
    <xf numFmtId="164" fontId="15" fillId="34" borderId="95" xfId="0" applyNumberFormat="1" applyFont="1" applyFill="1" applyBorder="1"/>
    <xf numFmtId="164" fontId="15" fillId="34" borderId="96" xfId="0" applyNumberFormat="1" applyFont="1" applyFill="1" applyBorder="1"/>
    <xf numFmtId="1" fontId="15" fillId="34" borderId="33" xfId="0" applyNumberFormat="1" applyFont="1" applyFill="1" applyBorder="1"/>
    <xf numFmtId="164" fontId="15" fillId="34" borderId="33" xfId="0" applyNumberFormat="1" applyFont="1" applyFill="1" applyBorder="1"/>
    <xf numFmtId="164" fontId="15" fillId="34" borderId="97" xfId="0" applyNumberFormat="1" applyFont="1" applyFill="1" applyBorder="1" applyAlignment="1">
      <alignment horizontal="right"/>
    </xf>
    <xf numFmtId="164" fontId="15" fillId="34" borderId="97" xfId="0" applyNumberFormat="1" applyFont="1" applyFill="1" applyBorder="1"/>
    <xf numFmtId="164" fontId="15" fillId="34" borderId="98" xfId="0" applyNumberFormat="1" applyFont="1" applyFill="1" applyBorder="1"/>
    <xf numFmtId="164" fontId="23" fillId="18" borderId="100" xfId="0" applyNumberFormat="1" applyFont="1" applyFill="1" applyBorder="1"/>
    <xf numFmtId="164" fontId="55" fillId="0" borderId="0" xfId="0" applyNumberFormat="1" applyFont="1"/>
    <xf numFmtId="164" fontId="15" fillId="26" borderId="57" xfId="0" applyNumberFormat="1" applyFont="1" applyFill="1" applyBorder="1" applyAlignment="1">
      <alignment horizontal="right" vertical="center"/>
    </xf>
    <xf numFmtId="164" fontId="55" fillId="34" borderId="56" xfId="0" applyNumberFormat="1" applyFont="1" applyFill="1" applyBorder="1" applyAlignment="1">
      <alignment horizontal="right" vertical="center"/>
    </xf>
    <xf numFmtId="164" fontId="15" fillId="34" borderId="57" xfId="0" applyNumberFormat="1" applyFont="1" applyFill="1" applyBorder="1" applyAlignment="1">
      <alignment horizontal="right" vertical="center"/>
    </xf>
    <xf numFmtId="164" fontId="15" fillId="26" borderId="10" xfId="0" applyNumberFormat="1" applyFont="1" applyFill="1" applyBorder="1" applyAlignment="1">
      <alignment horizontal="right" vertical="center"/>
    </xf>
    <xf numFmtId="164" fontId="55" fillId="34" borderId="27" xfId="0" applyNumberFormat="1" applyFont="1" applyFill="1" applyBorder="1" applyAlignment="1">
      <alignment horizontal="right" vertical="center"/>
    </xf>
    <xf numFmtId="164" fontId="15" fillId="34" borderId="10" xfId="0" applyNumberFormat="1" applyFont="1" applyFill="1" applyBorder="1" applyAlignment="1">
      <alignment vertical="center"/>
    </xf>
    <xf numFmtId="164" fontId="15" fillId="34" borderId="27" xfId="0" applyNumberFormat="1" applyFont="1" applyFill="1" applyBorder="1" applyAlignment="1">
      <alignment vertical="center"/>
    </xf>
    <xf numFmtId="164" fontId="23" fillId="18" borderId="61" xfId="0" applyNumberFormat="1" applyFont="1" applyFill="1" applyBorder="1" applyAlignment="1">
      <alignment vertical="center"/>
    </xf>
    <xf numFmtId="164" fontId="23" fillId="18" borderId="60" xfId="0" applyNumberFormat="1" applyFont="1" applyFill="1" applyBorder="1" applyAlignment="1">
      <alignment vertical="center"/>
    </xf>
    <xf numFmtId="164" fontId="22" fillId="18" borderId="27" xfId="0" applyNumberFormat="1" applyFont="1" applyFill="1" applyBorder="1"/>
    <xf numFmtId="164" fontId="22" fillId="18" borderId="10" xfId="0" applyNumberFormat="1" applyFont="1" applyFill="1" applyBorder="1" applyAlignment="1">
      <alignment horizontal="right"/>
    </xf>
    <xf numFmtId="1" fontId="22" fillId="18" borderId="10" xfId="0" applyNumberFormat="1" applyFont="1" applyFill="1" applyBorder="1" applyAlignment="1">
      <alignment horizontal="right"/>
    </xf>
    <xf numFmtId="164" fontId="22" fillId="18" borderId="27" xfId="0" applyNumberFormat="1" applyFont="1" applyFill="1" applyBorder="1" applyAlignment="1">
      <alignment horizontal="right"/>
    </xf>
    <xf numFmtId="164" fontId="55" fillId="18" borderId="102" xfId="0" applyNumberFormat="1" applyFont="1" applyFill="1" applyBorder="1"/>
    <xf numFmtId="164" fontId="46" fillId="42" borderId="103" xfId="0" applyNumberFormat="1" applyFont="1" applyFill="1" applyBorder="1" applyAlignment="1">
      <alignment horizontal="center" vertical="center"/>
    </xf>
    <xf numFmtId="164" fontId="47" fillId="2" borderId="34" xfId="0" applyNumberFormat="1" applyFont="1" applyFill="1" applyBorder="1"/>
    <xf numFmtId="1" fontId="15" fillId="0" borderId="0" xfId="0" applyNumberFormat="1" applyFont="1"/>
    <xf numFmtId="164" fontId="15" fillId="0" borderId="0" xfId="0" applyNumberFormat="1" applyFont="1" applyAlignment="1">
      <alignment horizontal="right"/>
    </xf>
    <xf numFmtId="164" fontId="40" fillId="0" borderId="0" xfId="0" applyNumberFormat="1" applyFont="1"/>
    <xf numFmtId="164" fontId="55" fillId="34" borderId="105" xfId="0" applyNumberFormat="1" applyFont="1" applyFill="1" applyBorder="1"/>
    <xf numFmtId="164" fontId="62" fillId="0" borderId="0" xfId="0" applyNumberFormat="1" applyFont="1" applyAlignment="1">
      <alignment horizontal="center"/>
    </xf>
    <xf numFmtId="164" fontId="23" fillId="18" borderId="108" xfId="0" applyNumberFormat="1" applyFont="1" applyFill="1" applyBorder="1"/>
    <xf numFmtId="167" fontId="15" fillId="34" borderId="56" xfId="0" applyNumberFormat="1" applyFont="1" applyFill="1" applyBorder="1"/>
    <xf numFmtId="167" fontId="15" fillId="34" borderId="10" xfId="0" applyNumberFormat="1" applyFont="1" applyFill="1" applyBorder="1"/>
    <xf numFmtId="167" fontId="15" fillId="34" borderId="27" xfId="0" applyNumberFormat="1" applyFont="1" applyFill="1" applyBorder="1"/>
    <xf numFmtId="167" fontId="15" fillId="34" borderId="57" xfId="0" applyNumberFormat="1" applyFont="1" applyFill="1" applyBorder="1"/>
    <xf numFmtId="167" fontId="15" fillId="26" borderId="27" xfId="0" applyNumberFormat="1" applyFont="1" applyFill="1" applyBorder="1"/>
    <xf numFmtId="167" fontId="15" fillId="26" borderId="10" xfId="0" applyNumberFormat="1" applyFont="1" applyFill="1" applyBorder="1"/>
    <xf numFmtId="167" fontId="23" fillId="18" borderId="112" xfId="0" applyNumberFormat="1" applyFont="1" applyFill="1" applyBorder="1"/>
    <xf numFmtId="167" fontId="23" fillId="18" borderId="113" xfId="0" applyNumberFormat="1" applyFont="1" applyFill="1" applyBorder="1"/>
    <xf numFmtId="1" fontId="22" fillId="18" borderId="113" xfId="0" applyNumberFormat="1" applyFont="1" applyFill="1" applyBorder="1"/>
    <xf numFmtId="164" fontId="22" fillId="18" borderId="113" xfId="0" applyNumberFormat="1" applyFont="1" applyFill="1" applyBorder="1"/>
    <xf numFmtId="164" fontId="22" fillId="18" borderId="113" xfId="0" applyNumberFormat="1" applyFont="1" applyFill="1" applyBorder="1" applyAlignment="1">
      <alignment horizontal="right"/>
    </xf>
    <xf numFmtId="167" fontId="23" fillId="18" borderId="114" xfId="0" applyNumberFormat="1" applyFont="1" applyFill="1" applyBorder="1"/>
    <xf numFmtId="167" fontId="23" fillId="18" borderId="70" xfId="0" applyNumberFormat="1" applyFont="1" applyFill="1" applyBorder="1"/>
    <xf numFmtId="164" fontId="22" fillId="18" borderId="114" xfId="0" applyNumberFormat="1" applyFont="1" applyFill="1" applyBorder="1" applyAlignment="1">
      <alignment horizontal="right"/>
    </xf>
    <xf numFmtId="167" fontId="15" fillId="18" borderId="66" xfId="0" applyNumberFormat="1" applyFont="1" applyFill="1" applyBorder="1"/>
    <xf numFmtId="167" fontId="15" fillId="34" borderId="26" xfId="0" applyNumberFormat="1" applyFont="1" applyFill="1" applyBorder="1"/>
    <xf numFmtId="167" fontId="15" fillId="34" borderId="62" xfId="0" applyNumberFormat="1" applyFont="1" applyFill="1" applyBorder="1"/>
    <xf numFmtId="167" fontId="23" fillId="18" borderId="60" xfId="0" applyNumberFormat="1" applyFont="1" applyFill="1" applyBorder="1"/>
    <xf numFmtId="167" fontId="23" fillId="18" borderId="61" xfId="0" applyNumberFormat="1" applyFont="1" applyFill="1" applyBorder="1"/>
    <xf numFmtId="1" fontId="22" fillId="18" borderId="61" xfId="0" applyNumberFormat="1" applyFont="1" applyFill="1" applyBorder="1"/>
    <xf numFmtId="164" fontId="22" fillId="18" borderId="61" xfId="0" applyNumberFormat="1" applyFont="1" applyFill="1" applyBorder="1"/>
    <xf numFmtId="167" fontId="15" fillId="18" borderId="60" xfId="0" applyNumberFormat="1" applyFont="1" applyFill="1" applyBorder="1"/>
    <xf numFmtId="167" fontId="23" fillId="18" borderId="10" xfId="0" applyNumberFormat="1" applyFont="1" applyFill="1" applyBorder="1"/>
    <xf numFmtId="0" fontId="46" fillId="42" borderId="52" xfId="0" applyFont="1" applyFill="1" applyBorder="1"/>
    <xf numFmtId="168" fontId="60" fillId="2" borderId="32" xfId="0" applyNumberFormat="1" applyFont="1" applyFill="1" applyBorder="1"/>
    <xf numFmtId="164" fontId="60" fillId="2" borderId="31" xfId="0" applyNumberFormat="1" applyFont="1" applyFill="1" applyBorder="1"/>
    <xf numFmtId="0" fontId="22" fillId="0" borderId="0" xfId="0" applyFont="1"/>
    <xf numFmtId="0" fontId="63" fillId="0" borderId="0" xfId="0" applyFont="1"/>
    <xf numFmtId="164" fontId="15" fillId="26" borderId="6" xfId="0" applyNumberFormat="1" applyFont="1" applyFill="1" applyBorder="1" applyAlignment="1">
      <alignment wrapText="1"/>
    </xf>
    <xf numFmtId="164" fontId="15" fillId="26" borderId="115" xfId="0" applyNumberFormat="1" applyFont="1" applyFill="1" applyBorder="1" applyAlignment="1">
      <alignment horizontal="right" wrapText="1"/>
    </xf>
    <xf numFmtId="164" fontId="15" fillId="26" borderId="56" xfId="0" applyNumberFormat="1" applyFont="1" applyFill="1" applyBorder="1" applyAlignment="1">
      <alignment horizontal="right"/>
    </xf>
    <xf numFmtId="164" fontId="15" fillId="26" borderId="115" xfId="0" applyNumberFormat="1" applyFont="1" applyFill="1" applyBorder="1"/>
    <xf numFmtId="164" fontId="15" fillId="26" borderId="81" xfId="0" applyNumberFormat="1" applyFont="1" applyFill="1" applyBorder="1"/>
    <xf numFmtId="164" fontId="15" fillId="26" borderId="25" xfId="0" applyNumberFormat="1" applyFont="1" applyFill="1" applyBorder="1" applyAlignment="1">
      <alignment wrapText="1"/>
    </xf>
    <xf numFmtId="164" fontId="15" fillId="26" borderId="41" xfId="0" applyNumberFormat="1" applyFont="1" applyFill="1" applyBorder="1" applyAlignment="1">
      <alignment horizontal="right" wrapText="1"/>
    </xf>
    <xf numFmtId="164" fontId="15" fillId="26" borderId="41" xfId="0" applyNumberFormat="1" applyFont="1" applyFill="1" applyBorder="1" applyAlignment="1">
      <alignment horizontal="right"/>
    </xf>
    <xf numFmtId="164" fontId="23" fillId="18" borderId="116" xfId="0" applyNumberFormat="1" applyFont="1" applyFill="1" applyBorder="1" applyAlignment="1">
      <alignment wrapText="1"/>
    </xf>
    <xf numFmtId="164" fontId="44" fillId="26" borderId="26" xfId="0" applyNumberFormat="1" applyFont="1" applyFill="1" applyBorder="1" applyAlignment="1">
      <alignment horizontal="right" wrapText="1"/>
    </xf>
    <xf numFmtId="164" fontId="15" fillId="34" borderId="74" xfId="0" applyNumberFormat="1" applyFont="1" applyFill="1" applyBorder="1"/>
    <xf numFmtId="164" fontId="44" fillId="26" borderId="10" xfId="0" applyNumberFormat="1" applyFont="1" applyFill="1" applyBorder="1" applyAlignment="1">
      <alignment horizontal="right" wrapText="1"/>
    </xf>
    <xf numFmtId="164" fontId="22" fillId="18" borderId="60" xfId="0" applyNumberFormat="1" applyFont="1" applyFill="1" applyBorder="1" applyAlignment="1">
      <alignment wrapText="1"/>
    </xf>
    <xf numFmtId="164" fontId="22" fillId="18" borderId="61" xfId="0" applyNumberFormat="1" applyFont="1" applyFill="1" applyBorder="1" applyAlignment="1">
      <alignment horizontal="right" wrapText="1"/>
    </xf>
    <xf numFmtId="164" fontId="15" fillId="18" borderId="60" xfId="0" applyNumberFormat="1" applyFont="1" applyFill="1" applyBorder="1"/>
    <xf numFmtId="164" fontId="15" fillId="26" borderId="8" xfId="0" applyNumberFormat="1" applyFont="1" applyFill="1" applyBorder="1" applyAlignment="1">
      <alignment wrapText="1"/>
    </xf>
    <xf numFmtId="164" fontId="15" fillId="26" borderId="68" xfId="0" applyNumberFormat="1" applyFont="1" applyFill="1" applyBorder="1" applyAlignment="1">
      <alignment horizontal="right"/>
    </xf>
    <xf numFmtId="164" fontId="15" fillId="26" borderId="26" xfId="0" applyNumberFormat="1" applyFont="1" applyFill="1" applyBorder="1" applyAlignment="1">
      <alignment horizontal="right"/>
    </xf>
    <xf numFmtId="164" fontId="15" fillId="26" borderId="74" xfId="0" applyNumberFormat="1" applyFont="1" applyFill="1" applyBorder="1" applyAlignment="1">
      <alignment horizontal="right"/>
    </xf>
    <xf numFmtId="164" fontId="15" fillId="26" borderId="75" xfId="0" applyNumberFormat="1" applyFont="1" applyFill="1" applyBorder="1" applyAlignment="1">
      <alignment horizontal="right"/>
    </xf>
    <xf numFmtId="164" fontId="23" fillId="18" borderId="66" xfId="0" applyNumberFormat="1" applyFont="1" applyFill="1" applyBorder="1" applyAlignment="1">
      <alignment horizontal="right"/>
    </xf>
    <xf numFmtId="164" fontId="46" fillId="42" borderId="77" xfId="0" applyNumberFormat="1" applyFont="1" applyFill="1" applyBorder="1"/>
    <xf numFmtId="164" fontId="47" fillId="2" borderId="118" xfId="0" applyNumberFormat="1" applyFont="1" applyFill="1" applyBorder="1"/>
    <xf numFmtId="164" fontId="47" fillId="2" borderId="73" xfId="0" applyNumberFormat="1" applyFont="1" applyFill="1" applyBorder="1" applyAlignment="1">
      <alignment horizontal="right"/>
    </xf>
    <xf numFmtId="167" fontId="44" fillId="34" borderId="10" xfId="0" applyNumberFormat="1" applyFont="1" applyFill="1" applyBorder="1"/>
    <xf numFmtId="1" fontId="44" fillId="34" borderId="10" xfId="0" applyNumberFormat="1" applyFont="1" applyFill="1" applyBorder="1"/>
    <xf numFmtId="167" fontId="44" fillId="26" borderId="10" xfId="0" applyNumberFormat="1" applyFont="1" applyFill="1" applyBorder="1"/>
    <xf numFmtId="167" fontId="44" fillId="34" borderId="27" xfId="0" applyNumberFormat="1" applyFont="1" applyFill="1" applyBorder="1"/>
    <xf numFmtId="0" fontId="15" fillId="42" borderId="52" xfId="0" applyFont="1" applyFill="1" applyBorder="1" applyAlignment="1">
      <alignment horizontal="center" vertical="center" wrapText="1"/>
    </xf>
    <xf numFmtId="167" fontId="23" fillId="2" borderId="32" xfId="0" applyNumberFormat="1" applyFont="1" applyFill="1" applyBorder="1"/>
    <xf numFmtId="167" fontId="22" fillId="2" borderId="31" xfId="0" applyNumberFormat="1" applyFont="1" applyFill="1" applyBorder="1"/>
    <xf numFmtId="1" fontId="22" fillId="2" borderId="31" xfId="0" applyNumberFormat="1" applyFont="1" applyFill="1" applyBorder="1"/>
    <xf numFmtId="167" fontId="23" fillId="2" borderId="31" xfId="0" applyNumberFormat="1" applyFont="1" applyFill="1" applyBorder="1"/>
    <xf numFmtId="167" fontId="22" fillId="2" borderId="32" xfId="0" applyNumberFormat="1" applyFont="1" applyFill="1" applyBorder="1"/>
    <xf numFmtId="0" fontId="15" fillId="34" borderId="27" xfId="0" applyFont="1" applyFill="1" applyBorder="1"/>
    <xf numFmtId="1" fontId="44" fillId="26" borderId="10" xfId="0" applyNumberFormat="1" applyFont="1" applyFill="1" applyBorder="1"/>
    <xf numFmtId="167" fontId="44" fillId="0" borderId="0" xfId="0" applyNumberFormat="1" applyFont="1"/>
    <xf numFmtId="166" fontId="44" fillId="34" borderId="27" xfId="0" applyNumberFormat="1" applyFont="1" applyFill="1" applyBorder="1" applyAlignment="1">
      <alignment horizontal="left"/>
    </xf>
    <xf numFmtId="167" fontId="60" fillId="2" borderId="32" xfId="0" applyNumberFormat="1" applyFont="1" applyFill="1" applyBorder="1"/>
    <xf numFmtId="167" fontId="60" fillId="2" borderId="31" xfId="0" applyNumberFormat="1" applyFont="1" applyFill="1" applyBorder="1"/>
    <xf numFmtId="1" fontId="60" fillId="2" borderId="31" xfId="0" applyNumberFormat="1" applyFont="1" applyFill="1" applyBorder="1"/>
    <xf numFmtId="167" fontId="47" fillId="2" borderId="31" xfId="0" applyNumberFormat="1" applyFont="1" applyFill="1" applyBorder="1"/>
    <xf numFmtId="167" fontId="47" fillId="2" borderId="32" xfId="0" applyNumberFormat="1" applyFont="1" applyFill="1" applyBorder="1"/>
    <xf numFmtId="164" fontId="47" fillId="0" borderId="0" xfId="0" applyNumberFormat="1" applyFont="1" applyAlignment="1">
      <alignment horizontal="right"/>
    </xf>
    <xf numFmtId="164" fontId="42" fillId="6" borderId="27" xfId="0" applyNumberFormat="1" applyFont="1" applyFill="1" applyBorder="1"/>
    <xf numFmtId="178" fontId="44" fillId="34" borderId="10" xfId="0" applyNumberFormat="1" applyFont="1" applyFill="1" applyBorder="1"/>
    <xf numFmtId="178" fontId="44" fillId="26" borderId="10" xfId="0" applyNumberFormat="1" applyFont="1" applyFill="1" applyBorder="1"/>
    <xf numFmtId="178" fontId="15" fillId="34" borderId="27" xfId="0" applyNumberFormat="1" applyFont="1" applyFill="1" applyBorder="1"/>
    <xf numFmtId="167" fontId="44" fillId="26" borderId="60" xfId="0" applyNumberFormat="1" applyFont="1" applyFill="1" applyBorder="1"/>
    <xf numFmtId="178" fontId="44" fillId="26" borderId="61" xfId="0" applyNumberFormat="1" applyFont="1" applyFill="1" applyBorder="1"/>
    <xf numFmtId="178" fontId="44" fillId="34" borderId="61" xfId="0" applyNumberFormat="1" applyFont="1" applyFill="1" applyBorder="1"/>
    <xf numFmtId="178" fontId="15" fillId="34" borderId="60" xfId="0" applyNumberFormat="1" applyFont="1" applyFill="1" applyBorder="1"/>
    <xf numFmtId="178" fontId="15" fillId="34" borderId="61" xfId="0" applyNumberFormat="1" applyFont="1" applyFill="1" applyBorder="1"/>
    <xf numFmtId="0" fontId="47" fillId="42" borderId="61" xfId="0" applyFont="1" applyFill="1" applyBorder="1" applyAlignment="1">
      <alignment vertical="center"/>
    </xf>
    <xf numFmtId="167" fontId="47" fillId="2" borderId="60" xfId="0" applyNumberFormat="1" applyFont="1" applyFill="1" applyBorder="1"/>
    <xf numFmtId="167" fontId="47" fillId="2" borderId="61" xfId="0" applyNumberFormat="1" applyFont="1" applyFill="1" applyBorder="1"/>
    <xf numFmtId="0" fontId="64" fillId="0" borderId="0" xfId="0" applyFont="1" applyAlignment="1">
      <alignment vertical="center"/>
    </xf>
    <xf numFmtId="167" fontId="23" fillId="18" borderId="27" xfId="0" applyNumberFormat="1" applyFont="1" applyFill="1" applyBorder="1"/>
    <xf numFmtId="0" fontId="46" fillId="42" borderId="46" xfId="0" applyFont="1" applyFill="1" applyBorder="1"/>
    <xf numFmtId="1" fontId="47" fillId="2" borderId="32" xfId="0" applyNumberFormat="1" applyFont="1" applyFill="1" applyBorder="1"/>
    <xf numFmtId="1" fontId="47" fillId="2" borderId="31" xfId="0" applyNumberFormat="1" applyFont="1" applyFill="1" applyBorder="1"/>
    <xf numFmtId="0" fontId="65" fillId="17" borderId="129" xfId="0" applyFont="1" applyFill="1" applyBorder="1"/>
    <xf numFmtId="0" fontId="65" fillId="20" borderId="130" xfId="0" applyFont="1" applyFill="1" applyBorder="1"/>
    <xf numFmtId="0" fontId="65" fillId="20" borderId="131" xfId="0" applyFont="1" applyFill="1" applyBorder="1"/>
    <xf numFmtId="179" fontId="65" fillId="42" borderId="130" xfId="0" applyNumberFormat="1" applyFont="1" applyFill="1" applyBorder="1"/>
    <xf numFmtId="0" fontId="65" fillId="9" borderId="129" xfId="0" applyFont="1" applyFill="1" applyBorder="1"/>
    <xf numFmtId="0" fontId="65" fillId="23" borderId="130" xfId="0" applyFont="1" applyFill="1" applyBorder="1"/>
    <xf numFmtId="0" fontId="65" fillId="23" borderId="131" xfId="0" applyFont="1" applyFill="1" applyBorder="1"/>
    <xf numFmtId="179" fontId="65" fillId="43" borderId="18" xfId="0" applyNumberFormat="1" applyFont="1" applyFill="1" applyBorder="1"/>
    <xf numFmtId="179" fontId="65" fillId="43" borderId="51" xfId="0" applyNumberFormat="1" applyFont="1" applyFill="1" applyBorder="1"/>
    <xf numFmtId="167" fontId="15" fillId="0" borderId="133" xfId="0" applyNumberFormat="1" applyFont="1" applyBorder="1"/>
    <xf numFmtId="167" fontId="15" fillId="0" borderId="134" xfId="0" applyNumberFormat="1" applyFont="1" applyBorder="1"/>
    <xf numFmtId="167" fontId="15" fillId="0" borderId="135" xfId="0" applyNumberFormat="1" applyFont="1" applyBorder="1"/>
    <xf numFmtId="167" fontId="15" fillId="0" borderId="136" xfId="0" applyNumberFormat="1" applyFont="1" applyBorder="1"/>
    <xf numFmtId="167" fontId="15" fillId="44" borderId="49" xfId="0" applyNumberFormat="1" applyFont="1" applyFill="1" applyBorder="1"/>
    <xf numFmtId="167" fontId="15" fillId="0" borderId="137" xfId="0" applyNumberFormat="1" applyFont="1" applyBorder="1"/>
    <xf numFmtId="167" fontId="15" fillId="0" borderId="138" xfId="0" applyNumberFormat="1" applyFont="1" applyBorder="1"/>
    <xf numFmtId="167" fontId="15" fillId="0" borderId="43" xfId="0" applyNumberFormat="1" applyFont="1" applyBorder="1"/>
    <xf numFmtId="167" fontId="15" fillId="0" borderId="15" xfId="0" applyNumberFormat="1" applyFont="1" applyBorder="1"/>
    <xf numFmtId="167" fontId="15" fillId="0" borderId="38" xfId="0" applyNumberFormat="1" applyFont="1" applyBorder="1"/>
    <xf numFmtId="167" fontId="15" fillId="0" borderId="140" xfId="0" applyNumberFormat="1" applyFont="1" applyBorder="1"/>
    <xf numFmtId="167" fontId="15" fillId="0" borderId="39" xfId="0" applyNumberFormat="1" applyFont="1" applyBorder="1"/>
    <xf numFmtId="167" fontId="15" fillId="15" borderId="10" xfId="0" applyNumberFormat="1" applyFont="1" applyFill="1" applyBorder="1"/>
    <xf numFmtId="167" fontId="23" fillId="0" borderId="142" xfId="0" applyNumberFormat="1" applyFont="1" applyBorder="1"/>
    <xf numFmtId="167" fontId="23" fillId="0" borderId="143" xfId="0" applyNumberFormat="1" applyFont="1" applyBorder="1"/>
    <xf numFmtId="167" fontId="23" fillId="0" borderId="144" xfId="0" applyNumberFormat="1" applyFont="1" applyBorder="1"/>
    <xf numFmtId="167" fontId="23" fillId="0" borderId="47" xfId="0" applyNumberFormat="1" applyFont="1" applyBorder="1"/>
    <xf numFmtId="167" fontId="23" fillId="0" borderId="145" xfId="0" applyNumberFormat="1" applyFont="1" applyBorder="1"/>
    <xf numFmtId="167" fontId="23" fillId="0" borderId="146" xfId="0" applyNumberFormat="1" applyFont="1" applyBorder="1"/>
    <xf numFmtId="167" fontId="23" fillId="0" borderId="147" xfId="0" applyNumberFormat="1" applyFont="1" applyBorder="1"/>
    <xf numFmtId="167" fontId="15" fillId="0" borderId="139" xfId="0" applyNumberFormat="1" applyFont="1" applyBorder="1"/>
    <xf numFmtId="167" fontId="15" fillId="0" borderId="40" xfId="0" applyNumberFormat="1" applyFont="1" applyBorder="1"/>
    <xf numFmtId="167" fontId="23" fillId="0" borderId="149" xfId="0" applyNumberFormat="1" applyFont="1" applyBorder="1"/>
    <xf numFmtId="167" fontId="23" fillId="0" borderId="134" xfId="0" applyNumberFormat="1" applyFont="1" applyBorder="1"/>
    <xf numFmtId="167" fontId="15" fillId="0" borderId="149" xfId="0" applyNumberFormat="1" applyFont="1" applyBorder="1"/>
    <xf numFmtId="167" fontId="15" fillId="0" borderId="142" xfId="0" applyNumberFormat="1" applyFont="1" applyBorder="1"/>
    <xf numFmtId="167" fontId="15" fillId="0" borderId="145" xfId="0" applyNumberFormat="1" applyFont="1" applyBorder="1"/>
    <xf numFmtId="167" fontId="15" fillId="0" borderId="144" xfId="0" applyNumberFormat="1" applyFont="1" applyBorder="1"/>
    <xf numFmtId="167" fontId="15" fillId="0" borderId="146" xfId="0" applyNumberFormat="1" applyFont="1" applyBorder="1"/>
    <xf numFmtId="167" fontId="15" fillId="0" borderId="147" xfId="0" applyNumberFormat="1" applyFont="1" applyBorder="1"/>
    <xf numFmtId="167" fontId="23" fillId="0" borderId="133" xfId="0" applyNumberFormat="1" applyFont="1" applyBorder="1"/>
    <xf numFmtId="167" fontId="23" fillId="0" borderId="135" xfId="0" applyNumberFormat="1" applyFont="1" applyBorder="1"/>
    <xf numFmtId="167" fontId="23" fillId="0" borderId="136" xfId="0" applyNumberFormat="1" applyFont="1" applyBorder="1"/>
    <xf numFmtId="0" fontId="15" fillId="0" borderId="43" xfId="0" applyFont="1" applyBorder="1"/>
    <xf numFmtId="167" fontId="15" fillId="27" borderId="10" xfId="0" applyNumberFormat="1" applyFont="1" applyFill="1" applyBorder="1"/>
    <xf numFmtId="167" fontId="15" fillId="27" borderId="50" xfId="0" applyNumberFormat="1" applyFont="1" applyFill="1" applyBorder="1"/>
    <xf numFmtId="167" fontId="15" fillId="27" borderId="130" xfId="0" applyNumberFormat="1" applyFont="1" applyFill="1" applyBorder="1"/>
    <xf numFmtId="167" fontId="15" fillId="27" borderId="19" xfId="0" applyNumberFormat="1" applyFont="1" applyFill="1" applyBorder="1"/>
    <xf numFmtId="167" fontId="15" fillId="27" borderId="49" xfId="0" applyNumberFormat="1" applyFont="1" applyFill="1" applyBorder="1"/>
    <xf numFmtId="167" fontId="15" fillId="27" borderId="18" xfId="0" applyNumberFormat="1" applyFont="1" applyFill="1" applyBorder="1"/>
    <xf numFmtId="167" fontId="15" fillId="27" borderId="48" xfId="0" applyNumberFormat="1" applyFont="1" applyFill="1" applyBorder="1"/>
    <xf numFmtId="167" fontId="15" fillId="27" borderId="77" xfId="0" applyNumberFormat="1" applyFont="1" applyFill="1" applyBorder="1"/>
    <xf numFmtId="167" fontId="15" fillId="27" borderId="150" xfId="0" applyNumberFormat="1" applyFont="1" applyFill="1" applyBorder="1"/>
    <xf numFmtId="167" fontId="15" fillId="27" borderId="20" xfId="0" applyNumberFormat="1" applyFont="1" applyFill="1" applyBorder="1"/>
    <xf numFmtId="167" fontId="15" fillId="27" borderId="9" xfId="0" applyNumberFormat="1" applyFont="1" applyFill="1" applyBorder="1"/>
    <xf numFmtId="167" fontId="15" fillId="27" borderId="21" xfId="0" applyNumberFormat="1" applyFont="1" applyFill="1" applyBorder="1"/>
    <xf numFmtId="167" fontId="15" fillId="27" borderId="78" xfId="0" applyNumberFormat="1" applyFont="1" applyFill="1" applyBorder="1"/>
    <xf numFmtId="167" fontId="23" fillId="27" borderId="45" xfId="0" applyNumberFormat="1" applyFont="1" applyFill="1" applyBorder="1"/>
    <xf numFmtId="167" fontId="23" fillId="27" borderId="41" xfId="0" applyNumberFormat="1" applyFont="1" applyFill="1" applyBorder="1"/>
    <xf numFmtId="167" fontId="23" fillId="27" borderId="151" xfId="0" applyNumberFormat="1" applyFont="1" applyFill="1" applyBorder="1"/>
    <xf numFmtId="167" fontId="23" fillId="27" borderId="131" xfId="0" applyNumberFormat="1" applyFont="1" applyFill="1" applyBorder="1"/>
    <xf numFmtId="167" fontId="23" fillId="27" borderId="10" xfId="0" applyNumberFormat="1" applyFont="1" applyFill="1" applyBorder="1"/>
    <xf numFmtId="167" fontId="23" fillId="27" borderId="46" xfId="0" applyNumberFormat="1" applyFont="1" applyFill="1" applyBorder="1"/>
    <xf numFmtId="167" fontId="23" fillId="27" borderId="103" xfId="0" applyNumberFormat="1" applyFont="1" applyFill="1" applyBorder="1"/>
    <xf numFmtId="167" fontId="23" fillId="27" borderId="47" xfId="0" applyNumberFormat="1" applyFont="1" applyFill="1" applyBorder="1"/>
    <xf numFmtId="0" fontId="15" fillId="33" borderId="152" xfId="0" applyFont="1" applyFill="1" applyBorder="1"/>
    <xf numFmtId="168" fontId="22" fillId="0" borderId="93" xfId="0" applyNumberFormat="1" applyFont="1" applyBorder="1"/>
    <xf numFmtId="164" fontId="22" fillId="0" borderId="153" xfId="0" applyNumberFormat="1" applyFont="1" applyBorder="1"/>
    <xf numFmtId="164" fontId="15" fillId="0" borderId="39" xfId="0" applyNumberFormat="1" applyFont="1" applyBorder="1" applyAlignment="1">
      <alignment horizontal="right"/>
    </xf>
    <xf numFmtId="164" fontId="23" fillId="34" borderId="27" xfId="0" applyNumberFormat="1" applyFont="1" applyFill="1" applyBorder="1" applyAlignment="1">
      <alignment horizontal="right"/>
    </xf>
    <xf numFmtId="164" fontId="23" fillId="42" borderId="46" xfId="0" applyNumberFormat="1" applyFont="1" applyFill="1" applyBorder="1" applyAlignment="1">
      <alignment horizontal="center" vertical="center" wrapText="1"/>
    </xf>
    <xf numFmtId="164" fontId="23" fillId="2" borderId="44" xfId="0" applyNumberFormat="1" applyFont="1" applyFill="1" applyBorder="1"/>
    <xf numFmtId="164" fontId="23" fillId="2" borderId="45" xfId="0" applyNumberFormat="1" applyFont="1" applyFill="1" applyBorder="1" applyAlignment="1">
      <alignment horizontal="right"/>
    </xf>
    <xf numFmtId="1" fontId="23" fillId="2" borderId="45" xfId="0" applyNumberFormat="1" applyFont="1" applyFill="1" applyBorder="1" applyAlignment="1">
      <alignment horizontal="right"/>
    </xf>
    <xf numFmtId="164" fontId="23" fillId="2" borderId="44" xfId="0" applyNumberFormat="1" applyFont="1" applyFill="1" applyBorder="1" applyAlignment="1">
      <alignment horizontal="right"/>
    </xf>
    <xf numFmtId="0" fontId="66" fillId="0" borderId="0" xfId="0" applyFont="1"/>
    <xf numFmtId="0" fontId="66" fillId="0" borderId="0" xfId="0" applyFont="1" applyAlignment="1">
      <alignment horizontal="right"/>
    </xf>
    <xf numFmtId="0" fontId="67" fillId="0" borderId="0" xfId="0" applyFont="1"/>
    <xf numFmtId="165" fontId="67" fillId="0" borderId="0" xfId="0" applyNumberFormat="1" applyFont="1" applyAlignment="1">
      <alignment horizontal="right"/>
    </xf>
    <xf numFmtId="165" fontId="67" fillId="0" borderId="0" xfId="0" applyNumberFormat="1" applyFont="1"/>
    <xf numFmtId="165" fontId="66" fillId="0" borderId="0" xfId="0" applyNumberFormat="1" applyFont="1"/>
    <xf numFmtId="164" fontId="55" fillId="26" borderId="56" xfId="0" applyNumberFormat="1" applyFont="1" applyFill="1" applyBorder="1"/>
    <xf numFmtId="164" fontId="23" fillId="2" borderId="60" xfId="0" applyNumberFormat="1" applyFont="1" applyFill="1" applyBorder="1"/>
    <xf numFmtId="164" fontId="23" fillId="2" borderId="61" xfId="0" applyNumberFormat="1" applyFont="1" applyFill="1" applyBorder="1"/>
    <xf numFmtId="1" fontId="23" fillId="2" borderId="61" xfId="0" applyNumberFormat="1" applyFont="1" applyFill="1" applyBorder="1"/>
    <xf numFmtId="164" fontId="55" fillId="26" borderId="57" xfId="0" applyNumberFormat="1" applyFont="1" applyFill="1" applyBorder="1"/>
    <xf numFmtId="0" fontId="15" fillId="26" borderId="10" xfId="0" applyFont="1" applyFill="1" applyBorder="1"/>
    <xf numFmtId="164" fontId="23" fillId="2" borderId="27" xfId="0" applyNumberFormat="1" applyFont="1" applyFill="1" applyBorder="1"/>
    <xf numFmtId="12" fontId="47" fillId="2" borderId="31" xfId="0" applyNumberFormat="1" applyFont="1" applyFill="1" applyBorder="1"/>
    <xf numFmtId="164" fontId="23" fillId="2" borderId="61" xfId="0" applyNumberFormat="1" applyFont="1" applyFill="1" applyBorder="1" applyAlignment="1">
      <alignment horizontal="right"/>
    </xf>
    <xf numFmtId="164" fontId="23" fillId="2" borderId="60" xfId="0" applyNumberFormat="1" applyFont="1" applyFill="1" applyBorder="1" applyAlignment="1">
      <alignment horizontal="right"/>
    </xf>
    <xf numFmtId="14" fontId="0" fillId="0" borderId="0" xfId="0" applyNumberFormat="1"/>
    <xf numFmtId="0" fontId="68" fillId="0" borderId="0" xfId="0" applyFont="1"/>
    <xf numFmtId="180" fontId="0" fillId="0" borderId="0" xfId="0" applyNumberFormat="1"/>
    <xf numFmtId="0" fontId="6" fillId="0" borderId="0" xfId="0" applyFont="1"/>
    <xf numFmtId="1" fontId="0" fillId="0" borderId="0" xfId="0" applyNumberFormat="1"/>
    <xf numFmtId="11" fontId="0" fillId="0" borderId="0" xfId="0" applyNumberFormat="1"/>
    <xf numFmtId="14" fontId="68" fillId="0" borderId="0" xfId="0" applyNumberFormat="1" applyFont="1"/>
    <xf numFmtId="0" fontId="0" fillId="46" borderId="0" xfId="0" applyFill="1"/>
    <xf numFmtId="1" fontId="69" fillId="0" borderId="0" xfId="0" applyNumberFormat="1" applyFont="1"/>
    <xf numFmtId="0" fontId="5" fillId="0" borderId="0" xfId="0" applyFont="1"/>
    <xf numFmtId="164" fontId="70" fillId="34" borderId="10" xfId="0" applyNumberFormat="1" applyFont="1" applyFill="1" applyBorder="1"/>
    <xf numFmtId="0" fontId="4" fillId="0" borderId="0" xfId="0" applyFont="1"/>
    <xf numFmtId="0" fontId="4" fillId="46" borderId="0" xfId="0" applyFont="1" applyFill="1"/>
    <xf numFmtId="14" fontId="68" fillId="46" borderId="0" xfId="0" applyNumberFormat="1" applyFont="1" applyFill="1"/>
    <xf numFmtId="14" fontId="0" fillId="46" borderId="0" xfId="0" applyNumberFormat="1" applyFill="1"/>
    <xf numFmtId="0" fontId="3" fillId="0" borderId="0" xfId="0" applyFont="1"/>
    <xf numFmtId="1" fontId="0" fillId="46" borderId="0" xfId="0" applyNumberFormat="1" applyFill="1"/>
    <xf numFmtId="14" fontId="28" fillId="0" borderId="0" xfId="0" applyNumberFormat="1" applyFont="1"/>
    <xf numFmtId="0" fontId="2" fillId="0" borderId="0" xfId="0" applyFont="1"/>
    <xf numFmtId="1" fontId="2" fillId="47" borderId="0" xfId="0" applyNumberFormat="1" applyFont="1" applyFill="1"/>
    <xf numFmtId="0" fontId="72" fillId="48" borderId="0" xfId="0" applyFont="1" applyFill="1"/>
    <xf numFmtId="0" fontId="73" fillId="0" borderId="0" xfId="0" applyFont="1"/>
    <xf numFmtId="0" fontId="0" fillId="47" borderId="0" xfId="0" applyFill="1"/>
    <xf numFmtId="180" fontId="0" fillId="47" borderId="0" xfId="0" applyNumberFormat="1" applyFill="1"/>
    <xf numFmtId="0" fontId="68" fillId="47" borderId="0" xfId="0" applyFont="1" applyFill="1"/>
    <xf numFmtId="0" fontId="1" fillId="47" borderId="0" xfId="0" applyFont="1" applyFill="1"/>
    <xf numFmtId="0" fontId="7" fillId="2" borderId="1" xfId="0" applyFont="1" applyFill="1" applyBorder="1" applyAlignment="1">
      <alignment horizontal="center"/>
    </xf>
    <xf numFmtId="0" fontId="8" fillId="0" borderId="2" xfId="0" applyFont="1" applyBorder="1"/>
    <xf numFmtId="0" fontId="8" fillId="0" borderId="3" xfId="0" applyFont="1" applyBorder="1"/>
    <xf numFmtId="0" fontId="8" fillId="0" borderId="4" xfId="0" applyFont="1" applyBorder="1"/>
    <xf numFmtId="0" fontId="8" fillId="0" borderId="5" xfId="0" applyFont="1" applyBorder="1"/>
    <xf numFmtId="0" fontId="8" fillId="0" borderId="6" xfId="0" applyFont="1" applyBorder="1"/>
    <xf numFmtId="0" fontId="10" fillId="3" borderId="7" xfId="0" applyFont="1" applyFill="1" applyBorder="1" applyAlignment="1">
      <alignment horizontal="center"/>
    </xf>
    <xf numFmtId="0" fontId="8" fillId="0" borderId="8" xfId="0" applyFont="1" applyBorder="1"/>
    <xf numFmtId="0" fontId="14" fillId="6" borderId="16" xfId="0" applyFont="1" applyFill="1" applyBorder="1" applyAlignment="1">
      <alignment horizontal="center" vertical="top" wrapText="1"/>
    </xf>
    <xf numFmtId="0" fontId="8" fillId="0" borderId="17" xfId="0" applyFont="1" applyBorder="1"/>
    <xf numFmtId="0" fontId="0" fillId="0" borderId="0" xfId="0" applyAlignment="1">
      <alignment horizontal="center"/>
    </xf>
    <xf numFmtId="164" fontId="39" fillId="30" borderId="23" xfId="0" applyNumberFormat="1" applyFont="1" applyFill="1" applyBorder="1" applyAlignment="1">
      <alignment horizontal="left"/>
    </xf>
    <xf numFmtId="0" fontId="8" fillId="0" borderId="26" xfId="0" applyFont="1" applyBorder="1"/>
    <xf numFmtId="164" fontId="40" fillId="20" borderId="23" xfId="0" applyNumberFormat="1" applyFont="1" applyFill="1" applyBorder="1" applyAlignment="1">
      <alignment horizontal="center"/>
    </xf>
    <xf numFmtId="164" fontId="39" fillId="31" borderId="16" xfId="0" applyNumberFormat="1" applyFont="1" applyFill="1" applyBorder="1" applyAlignment="1">
      <alignment horizontal="center"/>
    </xf>
    <xf numFmtId="0" fontId="8" fillId="0" borderId="24" xfId="0" applyFont="1" applyBorder="1"/>
    <xf numFmtId="0" fontId="8" fillId="0" borderId="25" xfId="0" applyFont="1" applyBorder="1"/>
    <xf numFmtId="164" fontId="39" fillId="7" borderId="16" xfId="0" applyNumberFormat="1" applyFont="1" applyFill="1" applyBorder="1" applyAlignment="1">
      <alignment horizontal="center"/>
    </xf>
    <xf numFmtId="0" fontId="49" fillId="24" borderId="1" xfId="0" applyFont="1" applyFill="1" applyBorder="1" applyAlignment="1">
      <alignment horizontal="center"/>
    </xf>
    <xf numFmtId="0" fontId="8" fillId="0" borderId="36" xfId="0" applyFont="1" applyBorder="1"/>
    <xf numFmtId="0" fontId="8" fillId="0" borderId="37" xfId="0" applyFont="1" applyBorder="1"/>
    <xf numFmtId="0" fontId="48" fillId="31" borderId="23" xfId="0" applyFont="1" applyFill="1" applyBorder="1" applyAlignment="1">
      <alignment horizontal="center" vertical="center"/>
    </xf>
    <xf numFmtId="0" fontId="8" fillId="0" borderId="42" xfId="0" applyFont="1" applyBorder="1"/>
    <xf numFmtId="0" fontId="51" fillId="7" borderId="23" xfId="0" applyFont="1" applyFill="1" applyBorder="1" applyAlignment="1">
      <alignment horizontal="center" vertical="center"/>
    </xf>
    <xf numFmtId="164" fontId="23" fillId="18" borderId="55" xfId="0" applyNumberFormat="1" applyFont="1" applyFill="1" applyBorder="1" applyAlignment="1">
      <alignment horizontal="center" vertical="center" wrapText="1"/>
    </xf>
    <xf numFmtId="0" fontId="8" fillId="0" borderId="58" xfId="0" applyFont="1" applyBorder="1"/>
    <xf numFmtId="0" fontId="8" fillId="0" borderId="59" xfId="0" applyFont="1" applyBorder="1"/>
    <xf numFmtId="164" fontId="23" fillId="18" borderId="67" xfId="0" applyNumberFormat="1" applyFont="1" applyFill="1" applyBorder="1" applyAlignment="1">
      <alignment horizontal="center" vertical="center" wrapText="1"/>
    </xf>
    <xf numFmtId="0" fontId="8" fillId="0" borderId="54" xfId="0" applyFont="1" applyBorder="1"/>
    <xf numFmtId="164" fontId="23" fillId="18" borderId="67" xfId="0" applyNumberFormat="1" applyFont="1" applyFill="1" applyBorder="1" applyAlignment="1">
      <alignment horizontal="center" vertical="center"/>
    </xf>
    <xf numFmtId="164" fontId="23" fillId="18" borderId="42" xfId="0" applyNumberFormat="1" applyFont="1" applyFill="1" applyBorder="1" applyAlignment="1">
      <alignment horizontal="center" vertical="center" wrapText="1"/>
    </xf>
    <xf numFmtId="164" fontId="22" fillId="18" borderId="63" xfId="0" applyNumberFormat="1" applyFont="1" applyFill="1" applyBorder="1" applyAlignment="1">
      <alignment horizontal="center" vertical="center"/>
    </xf>
    <xf numFmtId="0" fontId="8" fillId="0" borderId="64" xfId="0" applyFont="1" applyBorder="1"/>
    <xf numFmtId="0" fontId="8" fillId="0" borderId="65" xfId="0" applyFont="1" applyBorder="1"/>
    <xf numFmtId="164" fontId="22" fillId="18" borderId="63" xfId="0" applyNumberFormat="1" applyFont="1" applyFill="1" applyBorder="1" applyAlignment="1">
      <alignment horizontal="center" vertical="center" wrapText="1"/>
    </xf>
    <xf numFmtId="164" fontId="57" fillId="18" borderId="63" xfId="0" applyNumberFormat="1" applyFont="1" applyFill="1" applyBorder="1" applyAlignment="1">
      <alignment horizontal="center" vertical="center"/>
    </xf>
    <xf numFmtId="164" fontId="57" fillId="18" borderId="64" xfId="0" applyNumberFormat="1" applyFont="1" applyFill="1" applyBorder="1" applyAlignment="1">
      <alignment horizontal="center" vertical="center" wrapText="1"/>
    </xf>
    <xf numFmtId="0" fontId="8" fillId="0" borderId="76" xfId="0" applyFont="1" applyBorder="1"/>
    <xf numFmtId="164" fontId="56" fillId="18" borderId="55" xfId="0" applyNumberFormat="1" applyFont="1" applyFill="1" applyBorder="1" applyAlignment="1">
      <alignment horizontal="center" vertical="center"/>
    </xf>
    <xf numFmtId="164" fontId="56" fillId="18" borderId="63" xfId="0" applyNumberFormat="1" applyFont="1" applyFill="1" applyBorder="1" applyAlignment="1">
      <alignment horizontal="center" vertical="center"/>
    </xf>
    <xf numFmtId="164" fontId="57" fillId="18" borderId="67" xfId="0" applyNumberFormat="1" applyFont="1" applyFill="1" applyBorder="1" applyAlignment="1">
      <alignment horizontal="center" vertical="center" wrapText="1"/>
    </xf>
    <xf numFmtId="164" fontId="22" fillId="49" borderId="55" xfId="0" applyNumberFormat="1" applyFont="1" applyFill="1" applyBorder="1" applyAlignment="1">
      <alignment horizontal="center" vertical="center"/>
    </xf>
    <xf numFmtId="0" fontId="8" fillId="47" borderId="58" xfId="0" applyFont="1" applyFill="1" applyBorder="1"/>
    <xf numFmtId="0" fontId="8" fillId="47" borderId="59" xfId="0" applyFont="1" applyFill="1" applyBorder="1"/>
    <xf numFmtId="164" fontId="71" fillId="18" borderId="55" xfId="0" applyNumberFormat="1" applyFont="1" applyFill="1" applyBorder="1" applyAlignment="1">
      <alignment horizontal="center" vertical="center" wrapText="1"/>
    </xf>
    <xf numFmtId="0" fontId="8" fillId="0" borderId="58" xfId="0" applyFont="1" applyBorder="1" applyAlignment="1">
      <alignment wrapText="1"/>
    </xf>
    <xf numFmtId="0" fontId="8" fillId="0" borderId="59" xfId="0" applyFont="1" applyBorder="1" applyAlignment="1">
      <alignment wrapText="1"/>
    </xf>
    <xf numFmtId="164" fontId="22" fillId="50" borderId="55" xfId="0" applyNumberFormat="1" applyFont="1" applyFill="1" applyBorder="1" applyAlignment="1">
      <alignment horizontal="center" vertical="center"/>
    </xf>
    <xf numFmtId="0" fontId="8" fillId="48" borderId="58" xfId="0" applyFont="1" applyFill="1" applyBorder="1"/>
    <xf numFmtId="0" fontId="8" fillId="48" borderId="59" xfId="0" applyFont="1" applyFill="1" applyBorder="1"/>
    <xf numFmtId="164" fontId="22" fillId="18" borderId="55" xfId="0" applyNumberFormat="1" applyFont="1" applyFill="1" applyBorder="1" applyAlignment="1">
      <alignment horizontal="center" vertical="center"/>
    </xf>
    <xf numFmtId="164" fontId="22" fillId="18" borderId="58" xfId="0" applyNumberFormat="1" applyFont="1" applyFill="1" applyBorder="1" applyAlignment="1">
      <alignment horizontal="center" vertical="center"/>
    </xf>
    <xf numFmtId="165" fontId="22" fillId="18" borderId="58" xfId="0" applyNumberFormat="1" applyFont="1" applyFill="1" applyBorder="1" applyAlignment="1">
      <alignment horizontal="center" vertical="center"/>
    </xf>
    <xf numFmtId="165" fontId="22" fillId="18" borderId="80" xfId="0" applyNumberFormat="1" applyFont="1" applyFill="1" applyBorder="1" applyAlignment="1">
      <alignment horizontal="center" vertical="center" wrapText="1"/>
    </xf>
    <xf numFmtId="165" fontId="22" fillId="50" borderId="55" xfId="0" applyNumberFormat="1" applyFont="1" applyFill="1" applyBorder="1" applyAlignment="1">
      <alignment horizontal="center" vertical="center" wrapText="1"/>
    </xf>
    <xf numFmtId="165" fontId="22" fillId="18" borderId="55" xfId="0" applyNumberFormat="1" applyFont="1" applyFill="1" applyBorder="1" applyAlignment="1">
      <alignment horizontal="center" vertical="center" wrapText="1"/>
    </xf>
    <xf numFmtId="165" fontId="22" fillId="50" borderId="58" xfId="0" applyNumberFormat="1" applyFont="1" applyFill="1" applyBorder="1" applyAlignment="1">
      <alignment horizontal="center" vertical="center"/>
    </xf>
    <xf numFmtId="164" fontId="56" fillId="18" borderId="90" xfId="0" applyNumberFormat="1" applyFont="1" applyFill="1" applyBorder="1" applyAlignment="1">
      <alignment horizontal="center" vertical="center"/>
    </xf>
    <xf numFmtId="0" fontId="8" fillId="0" borderId="91" xfId="0" applyFont="1" applyBorder="1"/>
    <xf numFmtId="0" fontId="8" fillId="0" borderId="92" xfId="0" applyFont="1" applyBorder="1"/>
    <xf numFmtId="164" fontId="56" fillId="18" borderId="87" xfId="0" applyNumberFormat="1" applyFont="1" applyFill="1" applyBorder="1" applyAlignment="1">
      <alignment horizontal="center" vertical="center" wrapText="1"/>
    </xf>
    <xf numFmtId="0" fontId="8" fillId="0" borderId="88" xfId="0" applyFont="1" applyBorder="1"/>
    <xf numFmtId="0" fontId="8" fillId="0" borderId="89" xfId="0" applyFont="1" applyBorder="1"/>
    <xf numFmtId="164" fontId="56" fillId="18" borderId="87" xfId="0" applyNumberFormat="1" applyFont="1" applyFill="1" applyBorder="1" applyAlignment="1">
      <alignment horizontal="center" vertical="center"/>
    </xf>
    <xf numFmtId="164" fontId="23" fillId="18" borderId="104" xfId="0" applyNumberFormat="1" applyFont="1" applyFill="1" applyBorder="1" applyAlignment="1">
      <alignment horizontal="center" vertical="center"/>
    </xf>
    <xf numFmtId="0" fontId="8" fillId="0" borderId="106" xfId="0" applyFont="1" applyBorder="1"/>
    <xf numFmtId="0" fontId="8" fillId="0" borderId="107" xfId="0" applyFont="1" applyBorder="1"/>
    <xf numFmtId="164" fontId="39" fillId="30" borderId="0" xfId="0" applyNumberFormat="1" applyFont="1" applyFill="1" applyAlignment="1">
      <alignment horizontal="left"/>
    </xf>
    <xf numFmtId="0" fontId="8" fillId="0" borderId="93" xfId="0" applyFont="1" applyBorder="1"/>
    <xf numFmtId="164" fontId="40" fillId="20" borderId="2" xfId="0" applyNumberFormat="1" applyFont="1" applyFill="1" applyBorder="1" applyAlignment="1">
      <alignment horizontal="center"/>
    </xf>
    <xf numFmtId="0" fontId="8" fillId="0" borderId="94" xfId="0" applyFont="1" applyBorder="1"/>
    <xf numFmtId="164" fontId="23" fillId="18" borderId="0" xfId="0" applyNumberFormat="1" applyFont="1" applyFill="1" applyAlignment="1">
      <alignment horizontal="center" vertical="center"/>
    </xf>
    <xf numFmtId="0" fontId="0" fillId="0" borderId="0" xfId="0"/>
    <xf numFmtId="0" fontId="8" fillId="0" borderId="99" xfId="0" applyFont="1" applyBorder="1"/>
    <xf numFmtId="164" fontId="23" fillId="18" borderId="58" xfId="0" applyNumberFormat="1" applyFont="1" applyFill="1" applyBorder="1" applyAlignment="1">
      <alignment horizontal="center" vertical="center"/>
    </xf>
    <xf numFmtId="164" fontId="23" fillId="18" borderId="55" xfId="0" applyNumberFormat="1" applyFont="1" applyFill="1" applyBorder="1" applyAlignment="1">
      <alignment horizontal="center" vertical="center"/>
    </xf>
    <xf numFmtId="0" fontId="8" fillId="0" borderId="101" xfId="0" applyFont="1" applyBorder="1"/>
    <xf numFmtId="0" fontId="23" fillId="18" borderId="109" xfId="0" applyFont="1" applyFill="1" applyBorder="1" applyAlignment="1">
      <alignment horizontal="center" vertical="center" wrapText="1"/>
    </xf>
    <xf numFmtId="0" fontId="8" fillId="0" borderId="110" xfId="0" applyFont="1" applyBorder="1"/>
    <xf numFmtId="0" fontId="8" fillId="0" borderId="111" xfId="0" applyFont="1" applyBorder="1"/>
    <xf numFmtId="0" fontId="23" fillId="18" borderId="110" xfId="0" applyFont="1" applyFill="1" applyBorder="1" applyAlignment="1">
      <alignment horizontal="center" vertical="center" wrapText="1"/>
    </xf>
    <xf numFmtId="164" fontId="23" fillId="18" borderId="80" xfId="0" applyNumberFormat="1" applyFont="1" applyFill="1" applyBorder="1" applyAlignment="1">
      <alignment horizontal="center" vertical="center"/>
    </xf>
    <xf numFmtId="0" fontId="8" fillId="0" borderId="117" xfId="0" applyFont="1" applyBorder="1"/>
    <xf numFmtId="164" fontId="23" fillId="18" borderId="0" xfId="0" applyNumberFormat="1" applyFont="1" applyFill="1" applyAlignment="1">
      <alignment horizontal="center" vertical="center" wrapText="1"/>
    </xf>
    <xf numFmtId="164" fontId="22" fillId="18" borderId="58" xfId="0" applyNumberFormat="1" applyFont="1" applyFill="1" applyBorder="1" applyAlignment="1">
      <alignment horizontal="center" vertical="center" wrapText="1"/>
    </xf>
    <xf numFmtId="0" fontId="23" fillId="18" borderId="119" xfId="0" applyFont="1" applyFill="1" applyBorder="1" applyAlignment="1">
      <alignment horizontal="center" vertical="center" wrapText="1"/>
    </xf>
    <xf numFmtId="0" fontId="8" fillId="0" borderId="120" xfId="0" applyFont="1" applyBorder="1"/>
    <xf numFmtId="0" fontId="8" fillId="0" borderId="68" xfId="0" applyFont="1" applyBorder="1"/>
    <xf numFmtId="0" fontId="23" fillId="18" borderId="23" xfId="0" applyFont="1" applyFill="1" applyBorder="1" applyAlignment="1">
      <alignment horizontal="center" vertical="center"/>
    </xf>
    <xf numFmtId="0" fontId="23" fillId="18" borderId="55" xfId="0" applyFont="1" applyFill="1" applyBorder="1" applyAlignment="1">
      <alignment horizontal="center" vertical="center"/>
    </xf>
    <xf numFmtId="0" fontId="8" fillId="0" borderId="121" xfId="0" applyFont="1" applyBorder="1"/>
    <xf numFmtId="0" fontId="23" fillId="27" borderId="148" xfId="0" applyFont="1" applyFill="1" applyBorder="1" applyAlignment="1">
      <alignment horizontal="center" vertical="center"/>
    </xf>
    <xf numFmtId="0" fontId="8" fillId="0" borderId="139" xfId="0" applyFont="1" applyBorder="1"/>
    <xf numFmtId="0" fontId="8" fillId="0" borderId="141" xfId="0" applyFont="1" applyBorder="1"/>
    <xf numFmtId="0" fontId="65" fillId="33" borderId="122" xfId="0" applyFont="1" applyFill="1" applyBorder="1" applyAlignment="1">
      <alignment horizontal="left"/>
    </xf>
    <xf numFmtId="0" fontId="8" fillId="0" borderId="128" xfId="0" applyFont="1" applyBorder="1"/>
    <xf numFmtId="0" fontId="65" fillId="33" borderId="123" xfId="0" applyFont="1" applyFill="1" applyBorder="1" applyAlignment="1">
      <alignment horizontal="center"/>
    </xf>
    <xf numFmtId="0" fontId="65" fillId="42" borderId="124" xfId="0" applyFont="1" applyFill="1" applyBorder="1" applyAlignment="1">
      <alignment horizontal="center"/>
    </xf>
    <xf numFmtId="0" fontId="8" fillId="0" borderId="125" xfId="0" applyFont="1" applyBorder="1"/>
    <xf numFmtId="0" fontId="8" fillId="0" borderId="126" xfId="0" applyFont="1" applyBorder="1"/>
    <xf numFmtId="0" fontId="65" fillId="43" borderId="124" xfId="0" applyFont="1" applyFill="1" applyBorder="1" applyAlignment="1">
      <alignment horizontal="center"/>
    </xf>
    <xf numFmtId="0" fontId="8" fillId="0" borderId="127" xfId="0" applyFont="1" applyBorder="1"/>
    <xf numFmtId="0" fontId="23" fillId="20" borderId="132" xfId="0" applyFont="1" applyFill="1" applyBorder="1" applyAlignment="1">
      <alignment horizontal="center" vertical="center"/>
    </xf>
    <xf numFmtId="0" fontId="23" fillId="45" borderId="148" xfId="0" applyFont="1" applyFill="1" applyBorder="1" applyAlignment="1">
      <alignment horizontal="center" vertical="center"/>
    </xf>
    <xf numFmtId="0" fontId="23" fillId="20" borderId="148" xfId="0" applyFont="1" applyFill="1" applyBorder="1" applyAlignment="1">
      <alignment horizontal="center" vertical="center"/>
    </xf>
    <xf numFmtId="164" fontId="23" fillId="18" borderId="154" xfId="0" applyNumberFormat="1" applyFont="1" applyFill="1" applyBorder="1" applyAlignment="1">
      <alignment horizontal="center" vertical="center" wrapText="1"/>
    </xf>
    <xf numFmtId="0" fontId="8" fillId="0" borderId="155" xfId="0" applyFont="1" applyBorder="1"/>
    <xf numFmtId="0" fontId="66" fillId="0" borderId="0" xfId="0" applyFont="1" applyAlignment="1">
      <alignment horizontal="center"/>
    </xf>
    <xf numFmtId="0" fontId="67" fillId="0" borderId="0" xfId="0" applyFont="1" applyAlignment="1">
      <alignment horizontal="center"/>
    </xf>
    <xf numFmtId="0" fontId="23" fillId="18" borderId="67" xfId="0" applyFont="1" applyFill="1" applyBorder="1" applyAlignment="1">
      <alignment horizontal="center" vertical="center"/>
    </xf>
    <xf numFmtId="0" fontId="8" fillId="0" borderId="156" xfId="0" applyFont="1" applyBorder="1"/>
    <xf numFmtId="164" fontId="23" fillId="18" borderId="154" xfId="0" applyNumberFormat="1" applyFont="1" applyFill="1" applyBorder="1" applyAlignment="1">
      <alignment horizontal="center" vertical="center"/>
    </xf>
  </cellXfs>
  <cellStyles count="1">
    <cellStyle name="Normal" xfId="0" builtinId="0"/>
  </cellStyles>
  <dxfs count="146">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theme="1"/>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9C0006"/>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9C0006"/>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ill>
        <patternFill patternType="solid">
          <fgColor rgb="FFB5C1DF"/>
          <bgColor rgb="FFB5C1DF"/>
        </patternFill>
      </fill>
    </dxf>
    <dxf>
      <fill>
        <patternFill patternType="solid">
          <fgColor rgb="FFD4E5F6"/>
          <bgColor rgb="FFD4E5F6"/>
        </patternFill>
      </fill>
    </dxf>
    <dxf>
      <fill>
        <patternFill patternType="solid">
          <fgColor theme="6"/>
          <bgColor theme="6"/>
        </patternFill>
      </fill>
    </dxf>
  </dxfs>
  <tableStyles count="1">
    <tableStyle name="Welcome -style" pivot="0" count="3" xr9:uid="{00000000-0011-0000-FFFF-FFFF00000000}">
      <tableStyleElement type="headerRow" dxfId="145"/>
      <tableStyleElement type="firstRowStripe" dxfId="144"/>
      <tableStyleElement type="secondRowStripe" dxfId="143"/>
    </tableStyle>
  </tableStyles>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 Target="richData/rdrichvalue.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customschemas.google.com/relationships/workbookmetadata" Target="metadata"/><Relationship Id="rId38" Type="http://schemas.microsoft.com/office/2022/10/relationships/richValueRel" Target="richData/richValueRel.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heetMetadata" Target="metadata.xml"/><Relationship Id="rId40"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0</xdr:col>
      <xdr:colOff>28575</xdr:colOff>
      <xdr:row>0</xdr:row>
      <xdr:rowOff>19050</xdr:rowOff>
    </xdr:from>
    <xdr:ext cx="20821650" cy="1847850"/>
    <xdr:sp macro="" textlink="">
      <xdr:nvSpPr>
        <xdr:cNvPr id="3" name="Shape 3">
          <a:extLst>
            <a:ext uri="{FF2B5EF4-FFF2-40B4-BE49-F238E27FC236}">
              <a16:creationId xmlns:a16="http://schemas.microsoft.com/office/drawing/2014/main" id="{00000000-0008-0000-0100-000003000000}"/>
            </a:ext>
          </a:extLst>
        </xdr:cNvPr>
        <xdr:cNvSpPr txBox="1"/>
      </xdr:nvSpPr>
      <xdr:spPr>
        <a:xfrm>
          <a:off x="0" y="2860838"/>
          <a:ext cx="10692000" cy="1838325"/>
        </a:xfrm>
        <a:prstGeom prst="rect">
          <a:avLst/>
        </a:prstGeom>
        <a:solidFill>
          <a:srgbClr val="DEEAF5"/>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1800"/>
            <a:buFont typeface="Arial"/>
            <a:buNone/>
          </a:pPr>
          <a:r>
            <a:rPr lang="en-US" sz="1800" b="0" i="0" u="none" strike="noStrike">
              <a:solidFill>
                <a:srgbClr val="000000"/>
              </a:solidFill>
              <a:latin typeface="Arial"/>
              <a:ea typeface="Arial"/>
              <a:cs typeface="Arial"/>
              <a:sym typeface="Arial"/>
            </a:rPr>
            <a:t>The following sheets labelled "Cashbook ING" and "Cashbook Wix" present all budget realisations reistered through the financial platforms used by AIM. The information presented is driectly dowlaoded from ING or Wix, providing an overview of the dates of the transaction, the relevent names and accounts affiliated with the transaction and the amount. The specific data varies between the different cashbooks, however each provide a clear overview of the relevant infromation. The dowloaded relasiations are categorized according to the committee or organsiation, the event and the specific expense contributing to the event. Blow is a brief description of each cashbook file; </a:t>
          </a:r>
          <a:endParaRPr sz="1800" b="1" i="1" u="none" strike="noStrike">
            <a:solidFill>
              <a:srgbClr val="121429"/>
            </a:solidFill>
            <a:latin typeface="Arial"/>
            <a:ea typeface="Arial"/>
            <a:cs typeface="Arial"/>
            <a:sym typeface="Arial"/>
          </a:endParaRPr>
        </a:p>
        <a:p>
          <a:pPr marL="0" lvl="0" indent="0" algn="l" rtl="0">
            <a:spcBef>
              <a:spcPts val="0"/>
            </a:spcBef>
            <a:spcAft>
              <a:spcPts val="0"/>
            </a:spcAft>
            <a:buClr>
              <a:srgbClr val="121429"/>
            </a:buClr>
            <a:buSzPts val="1800"/>
            <a:buFont typeface="Arial"/>
            <a:buNone/>
          </a:pPr>
          <a:r>
            <a:rPr lang="en-US" sz="1800" b="1" i="1" u="none" strike="noStrike">
              <a:solidFill>
                <a:srgbClr val="121429"/>
              </a:solidFill>
              <a:latin typeface="Arial"/>
              <a:ea typeface="Arial"/>
              <a:cs typeface="Arial"/>
              <a:sym typeface="Arial"/>
            </a:rPr>
            <a:t>           Cashbook ING: </a:t>
          </a:r>
          <a:r>
            <a:rPr lang="en-US" sz="1800" b="0" i="1" u="none" strike="noStrike">
              <a:solidFill>
                <a:srgbClr val="121429"/>
              </a:solidFill>
              <a:latin typeface="Arial"/>
              <a:ea typeface="Arial"/>
              <a:cs typeface="Arial"/>
              <a:sym typeface="Arial"/>
            </a:rPr>
            <a:t>Includes all transcations that take place on AIM's ING business account that are sorted into Kostensoort (type of cost) and Koostensplats (where the cost took place). </a:t>
          </a:r>
          <a:endParaRPr sz="1800" b="1" i="1" u="none" strike="noStrike">
            <a:solidFill>
              <a:srgbClr val="121429"/>
            </a:solidFill>
            <a:latin typeface="Arial"/>
            <a:ea typeface="Arial"/>
            <a:cs typeface="Arial"/>
            <a:sym typeface="Arial"/>
          </a:endParaRPr>
        </a:p>
        <a:p>
          <a:pPr marL="0" marR="0" lvl="0" indent="0" algn="l" rtl="0">
            <a:lnSpc>
              <a:spcPct val="100000"/>
            </a:lnSpc>
            <a:spcBef>
              <a:spcPts val="0"/>
            </a:spcBef>
            <a:spcAft>
              <a:spcPts val="0"/>
            </a:spcAft>
            <a:buClr>
              <a:srgbClr val="121429"/>
            </a:buClr>
            <a:buSzPts val="1800"/>
            <a:buFont typeface="Arial"/>
            <a:buNone/>
          </a:pPr>
          <a:r>
            <a:rPr lang="en-US" sz="1800" b="1" i="1" u="none" strike="noStrike">
              <a:solidFill>
                <a:srgbClr val="121429"/>
              </a:solidFill>
              <a:latin typeface="Arial"/>
              <a:ea typeface="Arial"/>
              <a:cs typeface="Arial"/>
              <a:sym typeface="Arial"/>
            </a:rPr>
            <a:t>           Cashbook Wix:</a:t>
          </a:r>
          <a:r>
            <a:rPr lang="en-US" sz="1800" b="0" i="1" u="none" strike="noStrike">
              <a:solidFill>
                <a:srgbClr val="121429"/>
              </a:solidFill>
              <a:latin typeface="Arial"/>
              <a:ea typeface="Arial"/>
              <a:cs typeface="Arial"/>
              <a:sym typeface="Arial"/>
            </a:rPr>
            <a:t> Lists all the settlements thar are transfered from AIM's Wix account to AIM's ING buisness account that are sorted into Kostensoort (type of cost) and Koostensplats (where the cost took place). </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9525</xdr:colOff>
      <xdr:row>1</xdr:row>
      <xdr:rowOff>0</xdr:rowOff>
    </xdr:from>
    <xdr:ext cx="3790950" cy="723900"/>
    <xdr:sp macro="" textlink="">
      <xdr:nvSpPr>
        <xdr:cNvPr id="4" name="Shape 4">
          <a:extLst>
            <a:ext uri="{FF2B5EF4-FFF2-40B4-BE49-F238E27FC236}">
              <a16:creationId xmlns:a16="http://schemas.microsoft.com/office/drawing/2014/main" id="{00000000-0008-0000-0200-000004000000}"/>
            </a:ext>
          </a:extLst>
        </xdr:cNvPr>
        <xdr:cNvSpPr txBox="1"/>
      </xdr:nvSpPr>
      <xdr:spPr>
        <a:xfrm>
          <a:off x="3455288" y="3422813"/>
          <a:ext cx="3781425" cy="714375"/>
        </a:xfrm>
        <a:prstGeom prst="rect">
          <a:avLst/>
        </a:prstGeom>
        <a:solidFill>
          <a:srgbClr val="BED7EC"/>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1400"/>
            <a:buFont typeface="Arial"/>
            <a:buNone/>
          </a:pPr>
          <a:r>
            <a:rPr lang="en-US" sz="1400" b="0" i="0" u="none" strike="noStrike">
              <a:solidFill>
                <a:srgbClr val="000000"/>
              </a:solidFill>
              <a:latin typeface="Arial"/>
              <a:ea typeface="Arial"/>
              <a:cs typeface="Arial"/>
              <a:sym typeface="Arial"/>
            </a:rPr>
            <a:t>Categorization of Kostensoorts for Cashbooks composed of the following: </a:t>
          </a:r>
          <a:r>
            <a:rPr lang="en-US" sz="1400" b="1" i="0" u="none" strike="noStrike">
              <a:solidFill>
                <a:srgbClr val="000000"/>
              </a:solidFill>
              <a:latin typeface="Arial"/>
              <a:ea typeface="Arial"/>
              <a:cs typeface="Arial"/>
              <a:sym typeface="Arial"/>
            </a:rPr>
            <a:t>Comittee/Organisation_Event_Expense</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3209878</xdr:colOff>
      <xdr:row>4</xdr:row>
      <xdr:rowOff>2425491</xdr:rowOff>
    </xdr:to>
    <xdr:pic>
      <xdr:nvPicPr>
        <xdr:cNvPr id="2" name="Picture 1">
          <a:extLst>
            <a:ext uri="{FF2B5EF4-FFF2-40B4-BE49-F238E27FC236}">
              <a16:creationId xmlns:a16="http://schemas.microsoft.com/office/drawing/2014/main" id="{AA42B639-72E4-6804-C9EF-ECE69CA605F4}"/>
            </a:ext>
          </a:extLst>
        </xdr:cNvPr>
        <xdr:cNvPicPr>
          <a:picLocks noChangeAspect="1"/>
        </xdr:cNvPicPr>
      </xdr:nvPicPr>
      <xdr:blipFill rotWithShape="1">
        <a:blip xmlns:r="http://schemas.openxmlformats.org/officeDocument/2006/relationships" r:embed="rId1"/>
        <a:srcRect b="58132"/>
        <a:stretch>
          <a:fillRect/>
        </a:stretch>
      </xdr:blipFill>
      <xdr:spPr>
        <a:xfrm>
          <a:off x="0" y="8109262"/>
          <a:ext cx="3209878" cy="2425491"/>
        </a:xfrm>
        <a:prstGeom prst="rect">
          <a:avLst/>
        </a:prstGeom>
      </xdr:spPr>
    </xdr:pic>
    <xdr:clientData/>
  </xdr:twoCellAnchor>
  <xdr:twoCellAnchor editAs="oneCell">
    <xdr:from>
      <xdr:col>5</xdr:col>
      <xdr:colOff>125211</xdr:colOff>
      <xdr:row>3</xdr:row>
      <xdr:rowOff>1736679</xdr:rowOff>
    </xdr:from>
    <xdr:to>
      <xdr:col>5</xdr:col>
      <xdr:colOff>3067675</xdr:colOff>
      <xdr:row>4</xdr:row>
      <xdr:rowOff>1085790</xdr:rowOff>
    </xdr:to>
    <xdr:pic>
      <xdr:nvPicPr>
        <xdr:cNvPr id="3" name="Picture 2">
          <a:extLst>
            <a:ext uri="{FF2B5EF4-FFF2-40B4-BE49-F238E27FC236}">
              <a16:creationId xmlns:a16="http://schemas.microsoft.com/office/drawing/2014/main" id="{4D360E16-CDCB-D5A0-B6A6-EB3A2542B667}"/>
            </a:ext>
          </a:extLst>
        </xdr:cNvPr>
        <xdr:cNvPicPr>
          <a:picLocks noChangeAspect="1"/>
        </xdr:cNvPicPr>
      </xdr:nvPicPr>
      <xdr:blipFill rotWithShape="1">
        <a:blip xmlns:r="http://schemas.openxmlformats.org/officeDocument/2006/relationships" r:embed="rId2"/>
        <a:srcRect l="2895" t="29341" r="20558" b="31086"/>
        <a:stretch>
          <a:fillRect/>
        </a:stretch>
      </xdr:blipFill>
      <xdr:spPr>
        <a:xfrm>
          <a:off x="7065493" y="7084989"/>
          <a:ext cx="2942464" cy="21037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476250</xdr:colOff>
      <xdr:row>20</xdr:row>
      <xdr:rowOff>104775</xdr:rowOff>
    </xdr:from>
    <xdr:ext cx="2352675" cy="685800"/>
    <xdr:sp macro="" textlink="">
      <xdr:nvSpPr>
        <xdr:cNvPr id="5" name="Shape 5">
          <a:extLst>
            <a:ext uri="{FF2B5EF4-FFF2-40B4-BE49-F238E27FC236}">
              <a16:creationId xmlns:a16="http://schemas.microsoft.com/office/drawing/2014/main" id="{00000000-0008-0000-1800-000005000000}"/>
            </a:ext>
          </a:extLst>
        </xdr:cNvPr>
        <xdr:cNvSpPr txBox="1"/>
      </xdr:nvSpPr>
      <xdr:spPr>
        <a:xfrm>
          <a:off x="4174425" y="3441863"/>
          <a:ext cx="2343150" cy="6762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60 pairs 120 ppl signed up </a:t>
          </a:r>
          <a:endParaRPr sz="1100"/>
        </a:p>
      </xdr:txBody>
    </xdr:sp>
    <xdr:clientData fLocksWithSheet="0"/>
  </xdr:one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6:B31">
  <tableColumns count="2">
    <tableColumn id="1" xr3:uid="{00000000-0010-0000-0000-000001000000}" name="Sheet Name "/>
    <tableColumn id="2" xr3:uid="{00000000-0010-0000-0000-000002000000}" name="Description"/>
  </tableColumns>
  <tableStyleInfo name="Welcome -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9454C3"/>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BC7CE"/>
  </sheetPr>
  <dimension ref="A1:E1000"/>
  <sheetViews>
    <sheetView workbookViewId="0">
      <selection sqref="A1:B3"/>
    </sheetView>
  </sheetViews>
  <sheetFormatPr baseColWidth="10" defaultColWidth="14.5" defaultRowHeight="15" customHeight="1" x14ac:dyDescent="0.2"/>
  <cols>
    <col min="1" max="1" width="37.5" customWidth="1"/>
    <col min="2" max="2" width="67.5" customWidth="1"/>
    <col min="3" max="26" width="11.5" customWidth="1"/>
  </cols>
  <sheetData>
    <row r="1" spans="1:5" ht="14.25" customHeight="1" x14ac:dyDescent="0.2">
      <c r="A1" s="595" t="s">
        <v>0</v>
      </c>
      <c r="B1" s="596"/>
    </row>
    <row r="2" spans="1:5" ht="14.25" customHeight="1" x14ac:dyDescent="0.2">
      <c r="A2" s="597"/>
      <c r="B2" s="598"/>
    </row>
    <row r="3" spans="1:5" ht="14.25" customHeight="1" x14ac:dyDescent="0.2">
      <c r="A3" s="599"/>
      <c r="B3" s="600"/>
    </row>
    <row r="4" spans="1:5" ht="14.25" customHeight="1" x14ac:dyDescent="0.2">
      <c r="A4" s="1"/>
      <c r="B4" s="1"/>
    </row>
    <row r="5" spans="1:5" ht="14.25" customHeight="1" x14ac:dyDescent="0.2">
      <c r="A5" s="601" t="s">
        <v>1</v>
      </c>
      <c r="B5" s="602"/>
    </row>
    <row r="6" spans="1:5" ht="14.25" customHeight="1" x14ac:dyDescent="0.2">
      <c r="A6" s="2" t="s">
        <v>2</v>
      </c>
      <c r="B6" s="3" t="s">
        <v>3</v>
      </c>
    </row>
    <row r="7" spans="1:5" ht="14.25" customHeight="1" x14ac:dyDescent="0.2">
      <c r="A7" s="4" t="s">
        <v>4</v>
      </c>
      <c r="B7" s="5"/>
    </row>
    <row r="8" spans="1:5" ht="14.25" customHeight="1" x14ac:dyDescent="0.2">
      <c r="A8" s="6" t="s">
        <v>5</v>
      </c>
      <c r="B8" s="5" t="s">
        <v>6</v>
      </c>
    </row>
    <row r="9" spans="1:5" ht="14.25" customHeight="1" x14ac:dyDescent="0.2">
      <c r="A9" s="4" t="s">
        <v>7</v>
      </c>
      <c r="B9" s="5" t="s">
        <v>8</v>
      </c>
    </row>
    <row r="10" spans="1:5" ht="14.25" customHeight="1" x14ac:dyDescent="0.2">
      <c r="A10" s="4" t="s">
        <v>9</v>
      </c>
      <c r="B10" s="7" t="s">
        <v>10</v>
      </c>
    </row>
    <row r="11" spans="1:5" ht="14.25" customHeight="1" x14ac:dyDescent="0.2">
      <c r="A11" s="4" t="s">
        <v>11</v>
      </c>
      <c r="B11" s="8" t="s">
        <v>12</v>
      </c>
    </row>
    <row r="12" spans="1:5" ht="14.25" customHeight="1" x14ac:dyDescent="0.2">
      <c r="A12" s="4" t="s">
        <v>13</v>
      </c>
      <c r="B12" s="8" t="s">
        <v>14</v>
      </c>
    </row>
    <row r="13" spans="1:5" ht="14.25" customHeight="1" x14ac:dyDescent="0.2">
      <c r="A13" s="4" t="s">
        <v>15</v>
      </c>
      <c r="B13" s="8" t="s">
        <v>16</v>
      </c>
    </row>
    <row r="14" spans="1:5" ht="14.25" customHeight="1" x14ac:dyDescent="0.2">
      <c r="A14" s="4" t="s">
        <v>17</v>
      </c>
      <c r="B14" s="8" t="s">
        <v>18</v>
      </c>
    </row>
    <row r="15" spans="1:5" ht="14.25" customHeight="1" x14ac:dyDescent="0.2">
      <c r="A15" s="4" t="s">
        <v>19</v>
      </c>
      <c r="B15" s="8" t="s">
        <v>20</v>
      </c>
    </row>
    <row r="16" spans="1:5" ht="14.25" customHeight="1" x14ac:dyDescent="0.2">
      <c r="A16" s="4" t="s">
        <v>21</v>
      </c>
      <c r="B16" s="8" t="s">
        <v>22</v>
      </c>
      <c r="E16" s="9"/>
    </row>
    <row r="17" spans="1:5" ht="14.25" customHeight="1" x14ac:dyDescent="0.2">
      <c r="A17" s="4" t="s">
        <v>23</v>
      </c>
      <c r="B17" s="8" t="s">
        <v>24</v>
      </c>
      <c r="E17" s="10"/>
    </row>
    <row r="18" spans="1:5" ht="14.25" customHeight="1" x14ac:dyDescent="0.2">
      <c r="A18" s="4" t="s">
        <v>25</v>
      </c>
      <c r="B18" s="8" t="s">
        <v>26</v>
      </c>
    </row>
    <row r="19" spans="1:5" ht="14.25" customHeight="1" x14ac:dyDescent="0.2">
      <c r="A19" s="4" t="s">
        <v>27</v>
      </c>
      <c r="B19" s="8" t="s">
        <v>28</v>
      </c>
    </row>
    <row r="20" spans="1:5" ht="14.25" customHeight="1" x14ac:dyDescent="0.2">
      <c r="A20" s="4" t="s">
        <v>29</v>
      </c>
      <c r="B20" s="8" t="s">
        <v>30</v>
      </c>
    </row>
    <row r="21" spans="1:5" ht="14.25" customHeight="1" x14ac:dyDescent="0.2">
      <c r="A21" s="4" t="s">
        <v>31</v>
      </c>
      <c r="B21" s="8" t="s">
        <v>32</v>
      </c>
    </row>
    <row r="22" spans="1:5" ht="14.25" customHeight="1" x14ac:dyDescent="0.2">
      <c r="A22" s="4" t="s">
        <v>33</v>
      </c>
      <c r="B22" s="8" t="s">
        <v>34</v>
      </c>
    </row>
    <row r="23" spans="1:5" ht="14.25" customHeight="1" x14ac:dyDescent="0.2">
      <c r="A23" s="4" t="s">
        <v>35</v>
      </c>
      <c r="B23" s="8" t="s">
        <v>36</v>
      </c>
    </row>
    <row r="24" spans="1:5" ht="14.25" customHeight="1" x14ac:dyDescent="0.2">
      <c r="A24" s="4" t="s">
        <v>37</v>
      </c>
      <c r="B24" s="8" t="s">
        <v>38</v>
      </c>
    </row>
    <row r="25" spans="1:5" ht="14.25" customHeight="1" x14ac:dyDescent="0.2">
      <c r="A25" s="4" t="s">
        <v>39</v>
      </c>
      <c r="B25" s="8" t="s">
        <v>40</v>
      </c>
    </row>
    <row r="26" spans="1:5" ht="14.25" customHeight="1" x14ac:dyDescent="0.2">
      <c r="A26" s="11" t="s">
        <v>41</v>
      </c>
      <c r="B26" s="8" t="s">
        <v>42</v>
      </c>
    </row>
    <row r="27" spans="1:5" ht="14.25" customHeight="1" x14ac:dyDescent="0.2">
      <c r="A27" s="4" t="s">
        <v>43</v>
      </c>
      <c r="B27" s="8" t="s">
        <v>44</v>
      </c>
    </row>
    <row r="28" spans="1:5" ht="14.25" customHeight="1" x14ac:dyDescent="0.2">
      <c r="A28" s="4" t="s">
        <v>45</v>
      </c>
      <c r="B28" s="8" t="s">
        <v>46</v>
      </c>
    </row>
    <row r="29" spans="1:5" ht="14.25" customHeight="1" x14ac:dyDescent="0.2">
      <c r="A29" s="4" t="s">
        <v>47</v>
      </c>
      <c r="B29" s="8" t="s">
        <v>48</v>
      </c>
    </row>
    <row r="30" spans="1:5" ht="14.25" customHeight="1" x14ac:dyDescent="0.2">
      <c r="A30" s="4" t="s">
        <v>49</v>
      </c>
      <c r="B30" s="8" t="s">
        <v>50</v>
      </c>
    </row>
    <row r="31" spans="1:5" ht="14.25" customHeight="1" x14ac:dyDescent="0.2">
      <c r="A31" s="4" t="s">
        <v>51</v>
      </c>
      <c r="B31" s="8" t="s">
        <v>52</v>
      </c>
    </row>
    <row r="32" spans="1:5"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2">
    <mergeCell ref="A1:B3"/>
    <mergeCell ref="A5:B5"/>
  </mergeCells>
  <pageMargins left="0.7" right="0.7" top="0.75" bottom="0.75" header="0" footer="0"/>
  <pageSetup orientation="landscape"/>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BC7CE"/>
  </sheetPr>
  <dimension ref="A1:Z1001"/>
  <sheetViews>
    <sheetView zoomScale="46" zoomScaleNormal="46" workbookViewId="0">
      <pane xSplit="2" ySplit="2" topLeftCell="E51" activePane="bottomRight" state="frozen"/>
      <selection pane="topRight" activeCell="C1" sqref="C1"/>
      <selection pane="bottomLeft" activeCell="A3" sqref="A3"/>
      <selection pane="bottomRight" activeCell="K69" sqref="K69"/>
    </sheetView>
  </sheetViews>
  <sheetFormatPr baseColWidth="10" defaultColWidth="14.5" defaultRowHeight="15" customHeight="1" x14ac:dyDescent="0.2"/>
  <cols>
    <col min="1" max="1" width="21.1640625" customWidth="1"/>
    <col min="2" max="2" width="62.33203125" customWidth="1"/>
    <col min="3" max="3" width="25.83203125" customWidth="1"/>
    <col min="4" max="4" width="28.1640625" customWidth="1"/>
    <col min="5" max="5" width="30.1640625" customWidth="1"/>
    <col min="6" max="6" width="25.83203125" customWidth="1"/>
    <col min="7" max="7" width="28.1640625" customWidth="1"/>
    <col min="8" max="10" width="25.83203125" customWidth="1"/>
    <col min="11" max="11" width="29.5" customWidth="1"/>
    <col min="12" max="12" width="25.83203125" customWidth="1"/>
    <col min="13" max="13" width="37" customWidth="1"/>
    <col min="14" max="26" width="53.83203125" customWidth="1"/>
  </cols>
  <sheetData>
    <row r="1" spans="1:26" ht="27.75" customHeight="1" x14ac:dyDescent="0.3">
      <c r="A1" s="606" t="s">
        <v>358</v>
      </c>
      <c r="B1" s="608" t="s">
        <v>378</v>
      </c>
      <c r="C1" s="609" t="s">
        <v>379</v>
      </c>
      <c r="D1" s="610"/>
      <c r="E1" s="610"/>
      <c r="F1" s="610"/>
      <c r="G1" s="610"/>
      <c r="H1" s="611"/>
      <c r="I1" s="612" t="s">
        <v>380</v>
      </c>
      <c r="J1" s="610"/>
      <c r="K1" s="610"/>
      <c r="L1" s="610"/>
      <c r="M1" s="611"/>
      <c r="N1" s="28"/>
      <c r="O1" s="28"/>
      <c r="P1" s="28"/>
      <c r="Q1" s="28"/>
      <c r="R1" s="28"/>
      <c r="S1" s="28"/>
      <c r="T1" s="28"/>
      <c r="U1" s="28"/>
      <c r="V1" s="28"/>
      <c r="W1" s="28"/>
      <c r="X1" s="28"/>
      <c r="Y1" s="28"/>
      <c r="Z1" s="28"/>
    </row>
    <row r="2" spans="1:26" ht="27.75" customHeight="1" x14ac:dyDescent="0.3">
      <c r="A2" s="607"/>
      <c r="B2" s="607"/>
      <c r="C2" s="129" t="s">
        <v>381</v>
      </c>
      <c r="D2" s="130" t="s">
        <v>382</v>
      </c>
      <c r="E2" s="131" t="s">
        <v>383</v>
      </c>
      <c r="F2" s="132" t="s">
        <v>384</v>
      </c>
      <c r="G2" s="133" t="s">
        <v>385</v>
      </c>
      <c r="H2" s="134" t="s">
        <v>386</v>
      </c>
      <c r="I2" s="135" t="s">
        <v>381</v>
      </c>
      <c r="J2" s="136" t="s">
        <v>384</v>
      </c>
      <c r="K2" s="137" t="s">
        <v>385</v>
      </c>
      <c r="L2" s="138" t="s">
        <v>386</v>
      </c>
      <c r="M2" s="139" t="s">
        <v>387</v>
      </c>
      <c r="N2" s="28"/>
      <c r="O2" s="28"/>
      <c r="P2" s="28"/>
      <c r="Q2" s="28"/>
      <c r="R2" s="28"/>
      <c r="S2" s="28"/>
      <c r="T2" s="28"/>
      <c r="U2" s="28"/>
      <c r="V2" s="28"/>
      <c r="W2" s="28"/>
      <c r="X2" s="28"/>
      <c r="Y2" s="28"/>
      <c r="Z2" s="28"/>
    </row>
    <row r="3" spans="1:26" ht="27.75" customHeight="1" x14ac:dyDescent="0.3">
      <c r="A3" s="140"/>
      <c r="B3" s="141" t="s">
        <v>388</v>
      </c>
      <c r="C3" s="142">
        <f>Awareness!C6</f>
        <v>20</v>
      </c>
      <c r="D3" s="143">
        <f>Awareness!D6</f>
        <v>0</v>
      </c>
      <c r="E3" s="142">
        <f>Awareness!E6</f>
        <v>0</v>
      </c>
      <c r="F3" s="142">
        <f>Awareness!F6</f>
        <v>0</v>
      </c>
      <c r="G3" s="142">
        <f>Awareness!G6</f>
        <v>0</v>
      </c>
      <c r="H3" s="144">
        <f t="shared" ref="H3:H66" si="0">F3+G3-C3</f>
        <v>-20</v>
      </c>
      <c r="I3" s="142">
        <f>Awareness!I6</f>
        <v>0</v>
      </c>
      <c r="J3" s="142">
        <f>Awareness!J6</f>
        <v>0</v>
      </c>
      <c r="K3" s="142">
        <f>Awareness!K6</f>
        <v>0</v>
      </c>
      <c r="L3" s="144">
        <f t="shared" ref="L3:L5" si="1">J3+K3+I3</f>
        <v>0</v>
      </c>
      <c r="M3" s="145">
        <f t="shared" ref="M3:M66" si="2">L3-H3</f>
        <v>20</v>
      </c>
      <c r="N3" s="28"/>
      <c r="O3" s="28"/>
      <c r="P3" s="28"/>
      <c r="Q3" s="28"/>
      <c r="R3" s="28"/>
      <c r="S3" s="28"/>
      <c r="T3" s="28"/>
      <c r="U3" s="28"/>
      <c r="V3" s="28"/>
      <c r="W3" s="28"/>
      <c r="X3" s="28"/>
      <c r="Y3" s="28"/>
      <c r="Z3" s="28"/>
    </row>
    <row r="4" spans="1:26" ht="27.75" customHeight="1" x14ac:dyDescent="0.3">
      <c r="A4" s="140"/>
      <c r="B4" s="141" t="s">
        <v>389</v>
      </c>
      <c r="C4" s="142">
        <f>Awareness!C10</f>
        <v>60</v>
      </c>
      <c r="D4" s="142">
        <f>Awareness!D10</f>
        <v>0</v>
      </c>
      <c r="E4" s="142">
        <f>Awareness!E10</f>
        <v>0</v>
      </c>
      <c r="F4" s="142">
        <f>Awareness!F10</f>
        <v>0</v>
      </c>
      <c r="G4" s="142">
        <f>Awareness!G10</f>
        <v>20</v>
      </c>
      <c r="H4" s="144">
        <f t="shared" si="0"/>
        <v>-40</v>
      </c>
      <c r="I4" s="146">
        <f>Awareness!I10</f>
        <v>-78.819999999999993</v>
      </c>
      <c r="J4" s="146">
        <f>Awareness!J10</f>
        <v>0</v>
      </c>
      <c r="K4" s="146">
        <f>Awareness!K10</f>
        <v>0</v>
      </c>
      <c r="L4" s="144">
        <f t="shared" si="1"/>
        <v>-78.819999999999993</v>
      </c>
      <c r="M4" s="145">
        <f t="shared" si="2"/>
        <v>-38.819999999999993</v>
      </c>
      <c r="N4" s="28"/>
      <c r="O4" s="28"/>
      <c r="P4" s="28"/>
      <c r="Q4" s="28"/>
      <c r="R4" s="28"/>
      <c r="S4" s="28"/>
      <c r="T4" s="28"/>
      <c r="U4" s="28"/>
      <c r="V4" s="28"/>
      <c r="W4" s="28"/>
      <c r="X4" s="28"/>
      <c r="Y4" s="28"/>
      <c r="Z4" s="28"/>
    </row>
    <row r="5" spans="1:26" ht="27.75" customHeight="1" x14ac:dyDescent="0.3">
      <c r="A5" s="140"/>
      <c r="B5" s="141" t="s">
        <v>390</v>
      </c>
      <c r="C5" s="142">
        <f>Awareness!C13</f>
        <v>40</v>
      </c>
      <c r="D5" s="142">
        <f>Awareness!D13</f>
        <v>0</v>
      </c>
      <c r="E5" s="142">
        <f>Awareness!E13</f>
        <v>0</v>
      </c>
      <c r="F5" s="142">
        <f>Awareness!F13</f>
        <v>0</v>
      </c>
      <c r="G5" s="142">
        <f>Awareness!G13</f>
        <v>20</v>
      </c>
      <c r="H5" s="144">
        <f t="shared" si="0"/>
        <v>-20</v>
      </c>
      <c r="I5" s="146">
        <f>Awareness!I13</f>
        <v>0</v>
      </c>
      <c r="J5" s="146">
        <f>Awareness!J13</f>
        <v>0</v>
      </c>
      <c r="K5" s="146">
        <f>Awareness!K13</f>
        <v>0</v>
      </c>
      <c r="L5" s="144">
        <f t="shared" si="1"/>
        <v>0</v>
      </c>
      <c r="M5" s="145">
        <f t="shared" si="2"/>
        <v>20</v>
      </c>
      <c r="N5" s="28"/>
      <c r="O5" s="28"/>
      <c r="P5" s="28"/>
      <c r="Q5" s="28"/>
      <c r="R5" s="28"/>
      <c r="S5" s="28"/>
      <c r="T5" s="28"/>
      <c r="U5" s="28"/>
      <c r="V5" s="28"/>
      <c r="W5" s="28"/>
      <c r="X5" s="28"/>
      <c r="Y5" s="28"/>
      <c r="Z5" s="28"/>
    </row>
    <row r="6" spans="1:26" ht="27.75" customHeight="1" x14ac:dyDescent="0.3">
      <c r="A6" s="140"/>
      <c r="B6" s="141" t="s">
        <v>391</v>
      </c>
      <c r="C6" s="142">
        <f>Awareness!C16</f>
        <v>150</v>
      </c>
      <c r="D6" s="142">
        <f>Awareness!D16</f>
        <v>0</v>
      </c>
      <c r="E6" s="142">
        <f>Awareness!E16</f>
        <v>0</v>
      </c>
      <c r="F6" s="142">
        <f>Awareness!F16</f>
        <v>0</v>
      </c>
      <c r="G6" s="142">
        <f>Awareness!G16</f>
        <v>0</v>
      </c>
      <c r="H6" s="144">
        <f t="shared" si="0"/>
        <v>-150</v>
      </c>
      <c r="I6" s="146">
        <f>Awareness!I16</f>
        <v>0</v>
      </c>
      <c r="J6" s="146">
        <f>Awareness!J16</f>
        <v>0</v>
      </c>
      <c r="K6" s="146">
        <f>Awareness!K16</f>
        <v>0</v>
      </c>
      <c r="L6" s="147">
        <f>Awareness!L16</f>
        <v>0</v>
      </c>
      <c r="M6" s="148">
        <f t="shared" si="2"/>
        <v>150</v>
      </c>
      <c r="N6" s="28"/>
      <c r="O6" s="28"/>
      <c r="P6" s="28"/>
      <c r="Q6" s="28"/>
      <c r="R6" s="28"/>
      <c r="S6" s="28"/>
      <c r="T6" s="28"/>
      <c r="U6" s="28"/>
      <c r="V6" s="28"/>
      <c r="W6" s="28"/>
      <c r="X6" s="28"/>
      <c r="Y6" s="28"/>
      <c r="Z6" s="28"/>
    </row>
    <row r="7" spans="1:26" ht="27.75" customHeight="1" x14ac:dyDescent="0.3">
      <c r="A7" s="140"/>
      <c r="B7" s="141" t="s">
        <v>392</v>
      </c>
      <c r="C7" s="142">
        <f>Awareness!C19</f>
        <v>30</v>
      </c>
      <c r="D7" s="142">
        <f>Awareness!D19</f>
        <v>0</v>
      </c>
      <c r="E7" s="142">
        <f>Awareness!E19</f>
        <v>0</v>
      </c>
      <c r="F7" s="142">
        <f>Awareness!F19</f>
        <v>0</v>
      </c>
      <c r="G7" s="142">
        <f>Awareness!G19</f>
        <v>20</v>
      </c>
      <c r="H7" s="144">
        <f t="shared" si="0"/>
        <v>-10</v>
      </c>
      <c r="I7" s="146">
        <f>Awareness!I19</f>
        <v>0</v>
      </c>
      <c r="J7" s="146">
        <f>Awareness!J19</f>
        <v>0</v>
      </c>
      <c r="K7" s="146">
        <f>Awareness!K19</f>
        <v>0</v>
      </c>
      <c r="L7" s="144">
        <f t="shared" ref="L7:L66" si="3">J7+K7+I7</f>
        <v>0</v>
      </c>
      <c r="M7" s="145">
        <f t="shared" si="2"/>
        <v>10</v>
      </c>
      <c r="N7" s="28"/>
      <c r="O7" s="28"/>
      <c r="P7" s="28"/>
      <c r="Q7" s="28"/>
      <c r="R7" s="28"/>
      <c r="S7" s="28"/>
      <c r="T7" s="28"/>
      <c r="U7" s="28"/>
      <c r="V7" s="28"/>
      <c r="W7" s="28"/>
      <c r="X7" s="28"/>
      <c r="Y7" s="28"/>
      <c r="Z7" s="28"/>
    </row>
    <row r="8" spans="1:26" ht="27.75" customHeight="1" x14ac:dyDescent="0.3">
      <c r="A8" s="140"/>
      <c r="B8" s="141" t="s">
        <v>393</v>
      </c>
      <c r="C8" s="142">
        <f>Awareness!C22</f>
        <v>50</v>
      </c>
      <c r="D8" s="142">
        <f>Awareness!D22</f>
        <v>0</v>
      </c>
      <c r="E8" s="142">
        <f>Awareness!E22</f>
        <v>0</v>
      </c>
      <c r="F8" s="142">
        <f>Awareness!F22</f>
        <v>0</v>
      </c>
      <c r="G8" s="142">
        <f>Awareness!G22</f>
        <v>30</v>
      </c>
      <c r="H8" s="144">
        <f t="shared" si="0"/>
        <v>-20</v>
      </c>
      <c r="I8" s="146">
        <f>Awareness!I22</f>
        <v>0</v>
      </c>
      <c r="J8" s="146">
        <f>Awareness!J22</f>
        <v>0</v>
      </c>
      <c r="K8" s="146">
        <f>Awareness!K22</f>
        <v>0</v>
      </c>
      <c r="L8" s="144">
        <f t="shared" si="3"/>
        <v>0</v>
      </c>
      <c r="M8" s="145">
        <f t="shared" si="2"/>
        <v>20</v>
      </c>
      <c r="N8" s="28"/>
      <c r="O8" s="28"/>
      <c r="P8" s="28"/>
      <c r="Q8" s="28"/>
      <c r="R8" s="28"/>
      <c r="S8" s="28"/>
      <c r="T8" s="28"/>
      <c r="U8" s="28"/>
      <c r="V8" s="28"/>
      <c r="W8" s="28"/>
      <c r="X8" s="28"/>
      <c r="Y8" s="28"/>
      <c r="Z8" s="28"/>
    </row>
    <row r="9" spans="1:26" ht="27.75" customHeight="1" x14ac:dyDescent="0.3">
      <c r="A9" s="149"/>
      <c r="B9" s="141" t="s">
        <v>394</v>
      </c>
      <c r="C9" s="142">
        <f>Academic!C6</f>
        <v>50</v>
      </c>
      <c r="D9" s="142">
        <f>Academic!D6</f>
        <v>0</v>
      </c>
      <c r="E9" s="142">
        <f>Academic!E6</f>
        <v>0</v>
      </c>
      <c r="F9" s="142">
        <f>Academic!F6</f>
        <v>0</v>
      </c>
      <c r="G9" s="142">
        <f>Academic!G6</f>
        <v>50</v>
      </c>
      <c r="H9" s="144">
        <f t="shared" si="0"/>
        <v>0</v>
      </c>
      <c r="I9" s="146">
        <f>Academic!I6</f>
        <v>0</v>
      </c>
      <c r="J9" s="142">
        <f>Academic!J6</f>
        <v>0</v>
      </c>
      <c r="K9" s="142">
        <f>Academic!K6</f>
        <v>0</v>
      </c>
      <c r="L9" s="144">
        <f t="shared" si="3"/>
        <v>0</v>
      </c>
      <c r="M9" s="145">
        <f t="shared" si="2"/>
        <v>0</v>
      </c>
      <c r="N9" s="28"/>
      <c r="O9" s="28"/>
      <c r="P9" s="28"/>
      <c r="Q9" s="28"/>
      <c r="R9" s="28"/>
      <c r="S9" s="28"/>
      <c r="T9" s="28"/>
      <c r="U9" s="28"/>
      <c r="V9" s="28"/>
      <c r="W9" s="28"/>
      <c r="X9" s="28"/>
      <c r="Y9" s="28"/>
      <c r="Z9" s="28"/>
    </row>
    <row r="10" spans="1:26" ht="27.75" customHeight="1" x14ac:dyDescent="0.3">
      <c r="A10" s="149"/>
      <c r="B10" s="141" t="s">
        <v>395</v>
      </c>
      <c r="C10" s="142">
        <f>Academic!C11</f>
        <v>1505</v>
      </c>
      <c r="D10" s="142">
        <f>Academic!D11</f>
        <v>200</v>
      </c>
      <c r="E10" s="142">
        <f>Academic!E11</f>
        <v>0</v>
      </c>
      <c r="F10" s="142">
        <f>Academic!F11</f>
        <v>0</v>
      </c>
      <c r="G10" s="142">
        <f>Academic!G11</f>
        <v>1500</v>
      </c>
      <c r="H10" s="144">
        <f t="shared" si="0"/>
        <v>-5</v>
      </c>
      <c r="I10" s="142">
        <f>Academic!I11</f>
        <v>-1521.25</v>
      </c>
      <c r="J10" s="142">
        <f>Academic!J11</f>
        <v>0</v>
      </c>
      <c r="K10" s="142">
        <f>Academic!K11</f>
        <v>0</v>
      </c>
      <c r="L10" s="144">
        <f t="shared" si="3"/>
        <v>-1521.25</v>
      </c>
      <c r="M10" s="145">
        <f t="shared" si="2"/>
        <v>-1516.25</v>
      </c>
      <c r="N10" s="28"/>
      <c r="O10" s="28"/>
      <c r="P10" s="28"/>
      <c r="Q10" s="28"/>
      <c r="R10" s="28"/>
      <c r="S10" s="28"/>
      <c r="T10" s="28"/>
      <c r="U10" s="28"/>
      <c r="V10" s="28"/>
      <c r="W10" s="28"/>
      <c r="X10" s="28"/>
      <c r="Y10" s="28"/>
      <c r="Z10" s="28"/>
    </row>
    <row r="11" spans="1:26" ht="27.75" customHeight="1" x14ac:dyDescent="0.3">
      <c r="A11" s="149"/>
      <c r="B11" s="141" t="s">
        <v>396</v>
      </c>
      <c r="C11" s="150">
        <f>Academic!C15</f>
        <v>20</v>
      </c>
      <c r="D11" s="150">
        <f>Academic!D15</f>
        <v>30</v>
      </c>
      <c r="E11" s="150">
        <f>Academic!E15</f>
        <v>0</v>
      </c>
      <c r="F11" s="150">
        <f>Academic!F15</f>
        <v>50</v>
      </c>
      <c r="G11" s="150">
        <f>Academic!G15</f>
        <v>0</v>
      </c>
      <c r="H11" s="144">
        <f t="shared" si="0"/>
        <v>30</v>
      </c>
      <c r="I11" s="142">
        <f>Academic!I15</f>
        <v>0</v>
      </c>
      <c r="J11" s="142">
        <f>Academic!J15</f>
        <v>0</v>
      </c>
      <c r="K11" s="142">
        <f>Academic!K15</f>
        <v>0</v>
      </c>
      <c r="L11" s="144">
        <f t="shared" si="3"/>
        <v>0</v>
      </c>
      <c r="M11" s="145">
        <f t="shared" si="2"/>
        <v>-30</v>
      </c>
      <c r="N11" s="28"/>
      <c r="O11" s="28"/>
      <c r="P11" s="28"/>
      <c r="Q11" s="28"/>
      <c r="R11" s="28"/>
      <c r="S11" s="28"/>
      <c r="T11" s="28"/>
      <c r="U11" s="28"/>
      <c r="V11" s="28"/>
      <c r="W11" s="28"/>
      <c r="X11" s="28"/>
      <c r="Y11" s="28"/>
      <c r="Z11" s="28"/>
    </row>
    <row r="12" spans="1:26" ht="27.75" customHeight="1" x14ac:dyDescent="0.3">
      <c r="A12" s="149" t="s">
        <v>397</v>
      </c>
      <c r="B12" s="141" t="s">
        <v>398</v>
      </c>
      <c r="C12" s="142">
        <f>Academic!C20</f>
        <v>240</v>
      </c>
      <c r="D12" s="142">
        <f>Academic!D20</f>
        <v>35</v>
      </c>
      <c r="E12" s="142">
        <f>Academic!E20</f>
        <v>0</v>
      </c>
      <c r="F12" s="142">
        <f>Academic!F20</f>
        <v>80</v>
      </c>
      <c r="G12" s="142">
        <f>Academic!G20</f>
        <v>0</v>
      </c>
      <c r="H12" s="144">
        <f t="shared" si="0"/>
        <v>-160</v>
      </c>
      <c r="I12" s="142">
        <f>Academic!I20</f>
        <v>-363</v>
      </c>
      <c r="J12" s="142">
        <f>Academic!J20</f>
        <v>61.36</v>
      </c>
      <c r="K12" s="142">
        <f>Academic!K20</f>
        <v>0</v>
      </c>
      <c r="L12" s="144">
        <f t="shared" si="3"/>
        <v>-301.64</v>
      </c>
      <c r="M12" s="145">
        <f t="shared" si="2"/>
        <v>-141.63999999999999</v>
      </c>
      <c r="N12" s="28"/>
      <c r="O12" s="28"/>
      <c r="P12" s="28"/>
      <c r="Q12" s="28"/>
      <c r="R12" s="28"/>
      <c r="S12" s="28"/>
      <c r="T12" s="28"/>
      <c r="U12" s="28"/>
      <c r="V12" s="28"/>
      <c r="W12" s="28"/>
      <c r="X12" s="28"/>
      <c r="Y12" s="28"/>
      <c r="Z12" s="28"/>
    </row>
    <row r="13" spans="1:26" ht="27.75" customHeight="1" x14ac:dyDescent="0.3">
      <c r="A13" s="149"/>
      <c r="B13" s="141" t="s">
        <v>399</v>
      </c>
      <c r="C13" s="142">
        <f>Academic!C24</f>
        <v>20</v>
      </c>
      <c r="D13" s="142">
        <f>Academic!D24</f>
        <v>30</v>
      </c>
      <c r="E13" s="142">
        <f>Academic!E24</f>
        <v>0</v>
      </c>
      <c r="F13" s="142">
        <f>Academic!F24</f>
        <v>50</v>
      </c>
      <c r="G13" s="142">
        <f>Academic!G24</f>
        <v>0</v>
      </c>
      <c r="H13" s="144">
        <f t="shared" si="0"/>
        <v>30</v>
      </c>
      <c r="I13" s="142">
        <f>Academic!I24</f>
        <v>0</v>
      </c>
      <c r="J13" s="142">
        <f>Academic!J24</f>
        <v>0</v>
      </c>
      <c r="K13" s="142">
        <f>Academic!K24</f>
        <v>0</v>
      </c>
      <c r="L13" s="144">
        <f t="shared" si="3"/>
        <v>0</v>
      </c>
      <c r="M13" s="145">
        <f t="shared" si="2"/>
        <v>-30</v>
      </c>
      <c r="N13" s="28"/>
      <c r="O13" s="28"/>
      <c r="P13" s="28"/>
      <c r="Q13" s="28"/>
      <c r="R13" s="28"/>
      <c r="S13" s="28"/>
      <c r="T13" s="28"/>
      <c r="U13" s="28"/>
      <c r="V13" s="28"/>
      <c r="W13" s="28"/>
      <c r="X13" s="28"/>
      <c r="Y13" s="28"/>
      <c r="Z13" s="28"/>
    </row>
    <row r="14" spans="1:26" ht="27.75" customHeight="1" x14ac:dyDescent="0.3">
      <c r="A14" s="149"/>
      <c r="B14" s="141" t="s">
        <v>400</v>
      </c>
      <c r="C14" s="142">
        <f>Academic!C29</f>
        <v>420</v>
      </c>
      <c r="D14" s="142">
        <f>Academic!D29</f>
        <v>55</v>
      </c>
      <c r="E14" s="142">
        <f>Academic!E29</f>
        <v>0</v>
      </c>
      <c r="F14" s="142">
        <f>Academic!F29</f>
        <v>230</v>
      </c>
      <c r="G14" s="142">
        <f>Academic!G29</f>
        <v>100</v>
      </c>
      <c r="H14" s="144">
        <f t="shared" si="0"/>
        <v>-90</v>
      </c>
      <c r="I14" s="142">
        <f>Academic!I29</f>
        <v>0</v>
      </c>
      <c r="J14" s="142">
        <f>Academic!J29</f>
        <v>0</v>
      </c>
      <c r="K14" s="142">
        <f>Academic!K29</f>
        <v>0</v>
      </c>
      <c r="L14" s="144">
        <f t="shared" si="3"/>
        <v>0</v>
      </c>
      <c r="M14" s="145">
        <f t="shared" si="2"/>
        <v>90</v>
      </c>
      <c r="N14" s="28"/>
      <c r="O14" s="28"/>
      <c r="P14" s="28"/>
      <c r="Q14" s="28"/>
      <c r="R14" s="28"/>
      <c r="S14" s="28"/>
      <c r="T14" s="28"/>
      <c r="U14" s="28"/>
      <c r="V14" s="28"/>
      <c r="W14" s="28"/>
      <c r="X14" s="28"/>
      <c r="Y14" s="28"/>
      <c r="Z14" s="28"/>
    </row>
    <row r="15" spans="1:26" ht="27.75" customHeight="1" x14ac:dyDescent="0.3">
      <c r="A15" s="149"/>
      <c r="B15" s="141" t="s">
        <v>401</v>
      </c>
      <c r="C15" s="142">
        <f>Academic!C34</f>
        <v>60</v>
      </c>
      <c r="D15" s="142">
        <f>Academic!D34</f>
        <v>0</v>
      </c>
      <c r="E15" s="142">
        <f>Academic!E34</f>
        <v>0</v>
      </c>
      <c r="F15" s="142">
        <f>Academic!F34</f>
        <v>0</v>
      </c>
      <c r="G15" s="142">
        <f>Academic!G34</f>
        <v>0</v>
      </c>
      <c r="H15" s="144">
        <f t="shared" si="0"/>
        <v>-60</v>
      </c>
      <c r="I15" s="142">
        <f>Academic!I34</f>
        <v>0</v>
      </c>
      <c r="J15" s="142">
        <f>Academic!J17</f>
        <v>0</v>
      </c>
      <c r="K15" s="142">
        <f>Academic!K17</f>
        <v>0</v>
      </c>
      <c r="L15" s="144">
        <f t="shared" si="3"/>
        <v>0</v>
      </c>
      <c r="M15" s="145">
        <f t="shared" si="2"/>
        <v>60</v>
      </c>
      <c r="N15" s="28"/>
      <c r="O15" s="28"/>
      <c r="P15" s="28"/>
      <c r="Q15" s="28"/>
      <c r="R15" s="28"/>
      <c r="S15" s="28"/>
      <c r="T15" s="28"/>
      <c r="U15" s="28"/>
      <c r="V15" s="28"/>
      <c r="W15" s="28"/>
      <c r="X15" s="28"/>
      <c r="Y15" s="28"/>
      <c r="Z15" s="28"/>
    </row>
    <row r="16" spans="1:26" ht="27.75" customHeight="1" x14ac:dyDescent="0.3">
      <c r="A16" s="151"/>
      <c r="B16" s="141" t="s">
        <v>402</v>
      </c>
      <c r="C16" s="142">
        <f>Academic!C38</f>
        <v>100</v>
      </c>
      <c r="D16" s="142">
        <f>Academic!D38</f>
        <v>0</v>
      </c>
      <c r="E16" s="142">
        <f>Academic!E38</f>
        <v>0</v>
      </c>
      <c r="F16" s="142">
        <f>Academic!F38</f>
        <v>0</v>
      </c>
      <c r="G16" s="142">
        <f>Academic!G38</f>
        <v>75</v>
      </c>
      <c r="H16" s="144">
        <f t="shared" si="0"/>
        <v>-25</v>
      </c>
      <c r="I16" s="142">
        <f>Academic!I38</f>
        <v>-19.38</v>
      </c>
      <c r="J16" s="142">
        <f>Academic!J38</f>
        <v>0</v>
      </c>
      <c r="K16" s="142">
        <f>Academic!K38</f>
        <v>0</v>
      </c>
      <c r="L16" s="144">
        <f t="shared" si="3"/>
        <v>-19.38</v>
      </c>
      <c r="M16" s="145">
        <f t="shared" si="2"/>
        <v>5.620000000000001</v>
      </c>
      <c r="N16" s="28"/>
      <c r="O16" s="28"/>
      <c r="P16" s="28"/>
      <c r="Q16" s="28"/>
      <c r="R16" s="28"/>
      <c r="S16" s="28"/>
      <c r="T16" s="28"/>
      <c r="U16" s="28"/>
      <c r="V16" s="28"/>
      <c r="W16" s="28"/>
      <c r="X16" s="28"/>
      <c r="Y16" s="28"/>
      <c r="Z16" s="28"/>
    </row>
    <row r="17" spans="1:26" ht="27.75" customHeight="1" x14ac:dyDescent="0.3">
      <c r="A17" s="151"/>
      <c r="B17" s="141" t="s">
        <v>403</v>
      </c>
      <c r="C17" s="142">
        <f>Academic!C43</f>
        <v>65</v>
      </c>
      <c r="D17" s="142">
        <f>Academic!D43</f>
        <v>30</v>
      </c>
      <c r="E17" s="142">
        <f>Academic!E43</f>
        <v>0</v>
      </c>
      <c r="F17" s="142">
        <f>Academic!F43</f>
        <v>0</v>
      </c>
      <c r="G17" s="142">
        <f>Academic!G43</f>
        <v>50</v>
      </c>
      <c r="H17" s="144">
        <f t="shared" si="0"/>
        <v>-15</v>
      </c>
      <c r="I17" s="142">
        <f>Academic!I43</f>
        <v>0</v>
      </c>
      <c r="J17" s="142">
        <f>Academic!J43</f>
        <v>0</v>
      </c>
      <c r="K17" s="142">
        <f>Academic!K43</f>
        <v>0</v>
      </c>
      <c r="L17" s="144">
        <f t="shared" si="3"/>
        <v>0</v>
      </c>
      <c r="M17" s="145">
        <f t="shared" si="2"/>
        <v>15</v>
      </c>
      <c r="N17" s="28"/>
      <c r="O17" s="28"/>
      <c r="P17" s="28"/>
      <c r="Q17" s="28"/>
      <c r="R17" s="28"/>
      <c r="S17" s="28"/>
      <c r="T17" s="28"/>
      <c r="U17" s="28"/>
      <c r="V17" s="28"/>
      <c r="W17" s="28"/>
      <c r="X17" s="28"/>
      <c r="Y17" s="28"/>
      <c r="Z17" s="28"/>
    </row>
    <row r="18" spans="1:26" ht="27.75" customHeight="1" x14ac:dyDescent="0.3">
      <c r="A18" s="151"/>
      <c r="B18" s="141" t="s">
        <v>394</v>
      </c>
      <c r="C18" s="142">
        <f>Academic!C47</f>
        <v>250</v>
      </c>
      <c r="D18" s="142">
        <f>Academic!D47</f>
        <v>0</v>
      </c>
      <c r="E18" s="142">
        <f>Academic!E47</f>
        <v>0</v>
      </c>
      <c r="F18" s="142">
        <f>Academic!F47</f>
        <v>0</v>
      </c>
      <c r="G18" s="142">
        <f>Academic!G47</f>
        <v>240</v>
      </c>
      <c r="H18" s="144">
        <f t="shared" si="0"/>
        <v>-10</v>
      </c>
      <c r="I18" s="146">
        <f>Academic!I47</f>
        <v>-38.31</v>
      </c>
      <c r="J18" s="146">
        <f>Academic!J47</f>
        <v>0</v>
      </c>
      <c r="K18" s="146">
        <f>Academic!K47</f>
        <v>0</v>
      </c>
      <c r="L18" s="144">
        <f t="shared" si="3"/>
        <v>-38.31</v>
      </c>
      <c r="M18" s="145">
        <f t="shared" si="2"/>
        <v>-28.310000000000002</v>
      </c>
      <c r="N18" s="28"/>
      <c r="O18" s="28"/>
      <c r="P18" s="28"/>
      <c r="Q18" s="28"/>
      <c r="R18" s="28"/>
      <c r="S18" s="28"/>
      <c r="T18" s="28"/>
      <c r="U18" s="28"/>
      <c r="V18" s="28"/>
      <c r="W18" s="28"/>
      <c r="X18" s="28"/>
      <c r="Y18" s="28"/>
      <c r="Z18" s="28"/>
    </row>
    <row r="19" spans="1:26" ht="27.75" customHeight="1" x14ac:dyDescent="0.3">
      <c r="A19" s="151"/>
      <c r="B19" s="141" t="s">
        <v>404</v>
      </c>
      <c r="C19" s="142">
        <f>Academic!C52</f>
        <v>330</v>
      </c>
      <c r="D19" s="142">
        <f>Academic!D52</f>
        <v>30</v>
      </c>
      <c r="E19" s="142">
        <f>Academic!E52</f>
        <v>0</v>
      </c>
      <c r="F19" s="142">
        <f>Academic!F52</f>
        <v>50</v>
      </c>
      <c r="G19" s="142">
        <f>Academic!G52</f>
        <v>200</v>
      </c>
      <c r="H19" s="144">
        <f t="shared" si="0"/>
        <v>-80</v>
      </c>
      <c r="I19" s="146">
        <f>Academic!I52</f>
        <v>0</v>
      </c>
      <c r="J19" s="146">
        <f>Academic!J52</f>
        <v>0</v>
      </c>
      <c r="K19" s="146">
        <f>Academic!K52</f>
        <v>0</v>
      </c>
      <c r="L19" s="144">
        <f t="shared" si="3"/>
        <v>0</v>
      </c>
      <c r="M19" s="145">
        <f t="shared" si="2"/>
        <v>80</v>
      </c>
      <c r="N19" s="28"/>
      <c r="O19" s="28"/>
      <c r="P19" s="28"/>
      <c r="Q19" s="28"/>
      <c r="R19" s="28"/>
      <c r="S19" s="28"/>
      <c r="T19" s="28"/>
      <c r="U19" s="28"/>
      <c r="V19" s="28"/>
      <c r="W19" s="28"/>
      <c r="X19" s="28"/>
      <c r="Y19" s="28"/>
      <c r="Z19" s="28"/>
    </row>
    <row r="20" spans="1:26" ht="27.75" customHeight="1" x14ac:dyDescent="0.3">
      <c r="A20" s="151"/>
      <c r="B20" s="141" t="s">
        <v>405</v>
      </c>
      <c r="C20" s="142">
        <f>Arts!C7</f>
        <v>100</v>
      </c>
      <c r="D20" s="142">
        <f>Arts!D7</f>
        <v>65</v>
      </c>
      <c r="E20" s="142">
        <f>Arts!E7</f>
        <v>0</v>
      </c>
      <c r="F20" s="142">
        <f>Arts!F7</f>
        <v>0</v>
      </c>
      <c r="G20" s="142">
        <f>Arts!G7</f>
        <v>80</v>
      </c>
      <c r="H20" s="144">
        <f t="shared" si="0"/>
        <v>-20</v>
      </c>
      <c r="I20" s="142">
        <f>Arts!I7</f>
        <v>-99.66</v>
      </c>
      <c r="J20" s="142">
        <f>Arts!J7</f>
        <v>0</v>
      </c>
      <c r="K20" s="142">
        <f>Arts!K7</f>
        <v>0</v>
      </c>
      <c r="L20" s="144">
        <f t="shared" si="3"/>
        <v>-99.66</v>
      </c>
      <c r="M20" s="145">
        <f t="shared" si="2"/>
        <v>-79.66</v>
      </c>
      <c r="N20" s="28"/>
      <c r="O20" s="28"/>
      <c r="P20" s="28"/>
      <c r="Q20" s="28"/>
      <c r="R20" s="28"/>
      <c r="S20" s="28"/>
      <c r="T20" s="28"/>
      <c r="U20" s="28"/>
      <c r="V20" s="28"/>
      <c r="W20" s="28"/>
      <c r="X20" s="28"/>
      <c r="Y20" s="28"/>
      <c r="Z20" s="28"/>
    </row>
    <row r="21" spans="1:26" ht="27.75" customHeight="1" x14ac:dyDescent="0.3">
      <c r="A21" s="151"/>
      <c r="B21" s="141" t="s">
        <v>406</v>
      </c>
      <c r="C21" s="142">
        <f>Arts!C13</f>
        <v>200</v>
      </c>
      <c r="D21" s="142">
        <f>Arts!D13</f>
        <v>40</v>
      </c>
      <c r="E21" s="142">
        <f>Arts!E13</f>
        <v>0</v>
      </c>
      <c r="F21" s="142">
        <f>Arts!F13</f>
        <v>130</v>
      </c>
      <c r="G21" s="142">
        <f>Arts!G13</f>
        <v>120</v>
      </c>
      <c r="H21" s="144">
        <f t="shared" si="0"/>
        <v>50</v>
      </c>
      <c r="I21" s="142">
        <f>Arts!I13</f>
        <v>0</v>
      </c>
      <c r="J21" s="142">
        <f>Arts!J13</f>
        <v>123.41000000000004</v>
      </c>
      <c r="K21" s="142">
        <f>Arts!K13</f>
        <v>0</v>
      </c>
      <c r="L21" s="144">
        <f t="shared" si="3"/>
        <v>123.41000000000004</v>
      </c>
      <c r="M21" s="145">
        <f t="shared" si="2"/>
        <v>73.410000000000039</v>
      </c>
      <c r="N21" s="28"/>
      <c r="O21" s="28"/>
      <c r="P21" s="28"/>
      <c r="Q21" s="28"/>
      <c r="R21" s="28"/>
      <c r="S21" s="28"/>
      <c r="T21" s="28"/>
      <c r="U21" s="28"/>
      <c r="V21" s="28"/>
      <c r="W21" s="28"/>
      <c r="X21" s="28"/>
      <c r="Y21" s="28"/>
      <c r="Z21" s="28"/>
    </row>
    <row r="22" spans="1:26" ht="27.75" customHeight="1" x14ac:dyDescent="0.3">
      <c r="A22" s="151"/>
      <c r="B22" s="141" t="s">
        <v>407</v>
      </c>
      <c r="C22" s="142">
        <f>Arts!C19</f>
        <v>165</v>
      </c>
      <c r="D22" s="142">
        <f>Arts!D19</f>
        <v>35</v>
      </c>
      <c r="E22" s="142">
        <f>Arts!E19</f>
        <v>0</v>
      </c>
      <c r="F22" s="142">
        <f>Arts!F19</f>
        <v>57.5</v>
      </c>
      <c r="G22" s="142">
        <f>Arts!G19</f>
        <v>115</v>
      </c>
      <c r="H22" s="144">
        <f t="shared" si="0"/>
        <v>7.5</v>
      </c>
      <c r="I22" s="142">
        <f>Arts!I19</f>
        <v>0</v>
      </c>
      <c r="J22" s="142">
        <f>Arts!J19</f>
        <v>0</v>
      </c>
      <c r="K22" s="142">
        <f>Arts!K19</f>
        <v>0</v>
      </c>
      <c r="L22" s="144">
        <f t="shared" si="3"/>
        <v>0</v>
      </c>
      <c r="M22" s="145">
        <f t="shared" si="2"/>
        <v>-7.5</v>
      </c>
      <c r="N22" s="28"/>
      <c r="O22" s="28"/>
      <c r="P22" s="28"/>
      <c r="Q22" s="28"/>
      <c r="R22" s="28"/>
      <c r="S22" s="28"/>
      <c r="T22" s="28"/>
      <c r="U22" s="28"/>
      <c r="V22" s="28"/>
      <c r="W22" s="28"/>
      <c r="X22" s="28"/>
      <c r="Y22" s="28"/>
      <c r="Z22" s="28"/>
    </row>
    <row r="23" spans="1:26" ht="27.75" customHeight="1" x14ac:dyDescent="0.3">
      <c r="A23" s="151"/>
      <c r="B23" s="141" t="s">
        <v>408</v>
      </c>
      <c r="C23" s="142">
        <f>Arts!C24</f>
        <v>35</v>
      </c>
      <c r="D23" s="142">
        <f>Arts!D24</f>
        <v>50</v>
      </c>
      <c r="E23" s="142">
        <f>Arts!E24</f>
        <v>0</v>
      </c>
      <c r="F23" s="142">
        <f>Arts!F24</f>
        <v>100</v>
      </c>
      <c r="G23" s="142">
        <f>Arts!G24</f>
        <v>0</v>
      </c>
      <c r="H23" s="144">
        <f t="shared" si="0"/>
        <v>65</v>
      </c>
      <c r="I23" s="142">
        <f>Arts!I24</f>
        <v>0</v>
      </c>
      <c r="J23" s="142">
        <f>Arts!J24</f>
        <v>0</v>
      </c>
      <c r="K23" s="142">
        <f>Arts!K24</f>
        <v>0</v>
      </c>
      <c r="L23" s="144">
        <f t="shared" si="3"/>
        <v>0</v>
      </c>
      <c r="M23" s="145">
        <f t="shared" si="2"/>
        <v>-65</v>
      </c>
      <c r="N23" s="28"/>
      <c r="O23" s="28"/>
      <c r="P23" s="28"/>
      <c r="Q23" s="28"/>
      <c r="R23" s="28"/>
      <c r="S23" s="28"/>
      <c r="T23" s="28"/>
      <c r="U23" s="28"/>
      <c r="V23" s="28"/>
      <c r="W23" s="28"/>
      <c r="X23" s="28"/>
      <c r="Y23" s="28"/>
      <c r="Z23" s="28"/>
    </row>
    <row r="24" spans="1:26" ht="27.75" customHeight="1" x14ac:dyDescent="0.3">
      <c r="A24" s="151"/>
      <c r="B24" s="141" t="s">
        <v>409</v>
      </c>
      <c r="C24" s="142">
        <f>Arts!C27</f>
        <v>700</v>
      </c>
      <c r="D24" s="142">
        <f>Arts!D27</f>
        <v>28</v>
      </c>
      <c r="E24" s="142">
        <f>Arts!E27</f>
        <v>0</v>
      </c>
      <c r="F24" s="142">
        <f>Arts!F27</f>
        <v>0</v>
      </c>
      <c r="G24" s="142">
        <f>Arts!G27</f>
        <v>650</v>
      </c>
      <c r="H24" s="144">
        <f t="shared" si="0"/>
        <v>-50</v>
      </c>
      <c r="I24" s="142">
        <f>Arts!I27</f>
        <v>0</v>
      </c>
      <c r="J24" s="142">
        <f>Arts!J27</f>
        <v>0</v>
      </c>
      <c r="K24" s="142">
        <f>Arts!K27</f>
        <v>0</v>
      </c>
      <c r="L24" s="144">
        <f t="shared" si="3"/>
        <v>0</v>
      </c>
      <c r="M24" s="145">
        <f t="shared" si="2"/>
        <v>50</v>
      </c>
      <c r="N24" s="28"/>
      <c r="O24" s="28"/>
      <c r="P24" s="28"/>
      <c r="Q24" s="28"/>
      <c r="R24" s="28"/>
      <c r="S24" s="28"/>
      <c r="T24" s="28"/>
      <c r="U24" s="28"/>
      <c r="V24" s="28"/>
      <c r="W24" s="28"/>
      <c r="X24" s="28"/>
      <c r="Y24" s="28"/>
      <c r="Z24" s="28"/>
    </row>
    <row r="25" spans="1:26" ht="27.75" customHeight="1" x14ac:dyDescent="0.3">
      <c r="A25" s="151"/>
      <c r="B25" s="141" t="s">
        <v>410</v>
      </c>
      <c r="C25" s="142">
        <f>Arts!C32</f>
        <v>20</v>
      </c>
      <c r="D25" s="142">
        <f>Arts!D32</f>
        <v>30</v>
      </c>
      <c r="E25" s="142">
        <f>Arts!E32</f>
        <v>0</v>
      </c>
      <c r="F25" s="142">
        <f>Arts!F32</f>
        <v>43.75</v>
      </c>
      <c r="G25" s="142">
        <f>Arts!G32</f>
        <v>0</v>
      </c>
      <c r="H25" s="144">
        <f t="shared" si="0"/>
        <v>23.75</v>
      </c>
      <c r="I25" s="146">
        <f>Arts!I32</f>
        <v>0</v>
      </c>
      <c r="J25" s="146">
        <f>Arts!J32</f>
        <v>0</v>
      </c>
      <c r="K25" s="146">
        <f>Arts!K32</f>
        <v>0</v>
      </c>
      <c r="L25" s="144">
        <f t="shared" si="3"/>
        <v>0</v>
      </c>
      <c r="M25" s="145">
        <f t="shared" si="2"/>
        <v>-23.75</v>
      </c>
      <c r="N25" s="28"/>
      <c r="O25" s="28"/>
      <c r="P25" s="28"/>
      <c r="Q25" s="28"/>
      <c r="R25" s="28"/>
      <c r="S25" s="28"/>
      <c r="T25" s="28"/>
      <c r="U25" s="28"/>
      <c r="V25" s="28"/>
      <c r="W25" s="28"/>
      <c r="X25" s="28"/>
      <c r="Y25" s="28"/>
      <c r="Z25" s="28"/>
    </row>
    <row r="26" spans="1:26" ht="27.75" customHeight="1" x14ac:dyDescent="0.3">
      <c r="A26" s="151"/>
      <c r="B26" s="141" t="s">
        <v>411</v>
      </c>
      <c r="C26" s="142">
        <f>Arts!C38</f>
        <v>120</v>
      </c>
      <c r="D26" s="142">
        <f>Arts!D38</f>
        <v>40</v>
      </c>
      <c r="E26" s="142">
        <f>Arts!E38</f>
        <v>0</v>
      </c>
      <c r="F26" s="142">
        <f>Arts!F38</f>
        <v>170</v>
      </c>
      <c r="G26" s="142">
        <f>Arts!G38</f>
        <v>0</v>
      </c>
      <c r="H26" s="144">
        <f t="shared" si="0"/>
        <v>50</v>
      </c>
      <c r="I26" s="146">
        <f>Arts!I38</f>
        <v>0</v>
      </c>
      <c r="J26" s="146">
        <f>Arts!J38</f>
        <v>0</v>
      </c>
      <c r="K26" s="146">
        <f>Arts!K38</f>
        <v>0</v>
      </c>
      <c r="L26" s="144">
        <f t="shared" si="3"/>
        <v>0</v>
      </c>
      <c r="M26" s="145">
        <f t="shared" si="2"/>
        <v>-50</v>
      </c>
      <c r="N26" s="28"/>
      <c r="O26" s="28"/>
      <c r="P26" s="28"/>
      <c r="Q26" s="28"/>
      <c r="R26" s="28"/>
      <c r="S26" s="28"/>
      <c r="T26" s="28"/>
      <c r="U26" s="28"/>
      <c r="V26" s="28"/>
      <c r="W26" s="28"/>
      <c r="X26" s="28"/>
      <c r="Y26" s="28"/>
      <c r="Z26" s="28"/>
    </row>
    <row r="27" spans="1:26" ht="27.75" customHeight="1" x14ac:dyDescent="0.3">
      <c r="A27" s="151"/>
      <c r="B27" s="141" t="s">
        <v>412</v>
      </c>
      <c r="C27" s="142">
        <f>Arts!C41</f>
        <v>100</v>
      </c>
      <c r="D27" s="142">
        <f>Arts!D41</f>
        <v>0</v>
      </c>
      <c r="E27" s="142">
        <f>Arts!E41</f>
        <v>0</v>
      </c>
      <c r="F27" s="142">
        <f>Arts!F41</f>
        <v>0</v>
      </c>
      <c r="G27" s="142">
        <f>Arts!G41</f>
        <v>50</v>
      </c>
      <c r="H27" s="144">
        <f t="shared" si="0"/>
        <v>-50</v>
      </c>
      <c r="I27" s="146">
        <f>Arts!I41</f>
        <v>0</v>
      </c>
      <c r="J27" s="146">
        <f>Arts!J41</f>
        <v>0</v>
      </c>
      <c r="K27" s="146">
        <f>Arts!K41</f>
        <v>0</v>
      </c>
      <c r="L27" s="144">
        <f t="shared" si="3"/>
        <v>0</v>
      </c>
      <c r="M27" s="145">
        <f t="shared" si="2"/>
        <v>50</v>
      </c>
      <c r="N27" s="28"/>
      <c r="O27" s="28"/>
      <c r="P27" s="28"/>
      <c r="Q27" s="28"/>
      <c r="R27" s="28"/>
      <c r="S27" s="28"/>
      <c r="T27" s="28"/>
      <c r="U27" s="28"/>
      <c r="V27" s="28"/>
      <c r="W27" s="28"/>
      <c r="X27" s="28"/>
      <c r="Y27" s="28"/>
      <c r="Z27" s="28"/>
    </row>
    <row r="28" spans="1:26" ht="27.75" customHeight="1" x14ac:dyDescent="0.3">
      <c r="A28" s="151"/>
      <c r="B28" s="141" t="s">
        <v>413</v>
      </c>
      <c r="C28" s="142">
        <f>Arts!C44</f>
        <v>100</v>
      </c>
      <c r="D28" s="142">
        <f>Arts!D44</f>
        <v>0</v>
      </c>
      <c r="E28" s="142">
        <f>Arts!E44</f>
        <v>0</v>
      </c>
      <c r="F28" s="142">
        <f>Arts!F44</f>
        <v>0</v>
      </c>
      <c r="G28" s="142">
        <f>Arts!G44</f>
        <v>50</v>
      </c>
      <c r="H28" s="144">
        <f t="shared" si="0"/>
        <v>-50</v>
      </c>
      <c r="I28" s="146">
        <f>Arts!I44</f>
        <v>0</v>
      </c>
      <c r="J28" s="146">
        <f>Arts!J44</f>
        <v>0</v>
      </c>
      <c r="K28" s="146">
        <f>Arts!K44</f>
        <v>0</v>
      </c>
      <c r="L28" s="144">
        <f t="shared" si="3"/>
        <v>0</v>
      </c>
      <c r="M28" s="145">
        <f t="shared" si="2"/>
        <v>50</v>
      </c>
      <c r="N28" s="28"/>
      <c r="O28" s="28"/>
      <c r="P28" s="28"/>
      <c r="Q28" s="28"/>
      <c r="R28" s="28"/>
      <c r="S28" s="28"/>
      <c r="T28" s="28"/>
      <c r="U28" s="28"/>
      <c r="V28" s="28"/>
      <c r="W28" s="28"/>
      <c r="X28" s="28"/>
      <c r="Y28" s="28"/>
      <c r="Z28" s="28"/>
    </row>
    <row r="29" spans="1:26" ht="27.75" customHeight="1" x14ac:dyDescent="0.3">
      <c r="A29" s="151"/>
      <c r="B29" s="152" t="s">
        <v>414</v>
      </c>
      <c r="C29" s="142">
        <f>Sports!C6</f>
        <v>60</v>
      </c>
      <c r="D29" s="142">
        <f>Sports!D6</f>
        <v>32</v>
      </c>
      <c r="E29" s="142">
        <f>Sports!E6</f>
        <v>0</v>
      </c>
      <c r="F29" s="142">
        <f>Sports!F6</f>
        <v>0</v>
      </c>
      <c r="G29" s="142">
        <f>Sports!G6</f>
        <v>0</v>
      </c>
      <c r="H29" s="144">
        <f t="shared" si="0"/>
        <v>-60</v>
      </c>
      <c r="I29" s="146">
        <f>Sports!I6</f>
        <v>-49.81</v>
      </c>
      <c r="J29" s="146">
        <f>Sports!J6</f>
        <v>0</v>
      </c>
      <c r="K29" s="146">
        <f>Sports!K6</f>
        <v>0</v>
      </c>
      <c r="L29" s="144">
        <f t="shared" si="3"/>
        <v>-49.81</v>
      </c>
      <c r="M29" s="145">
        <f t="shared" si="2"/>
        <v>10.189999999999998</v>
      </c>
      <c r="N29" s="28"/>
      <c r="O29" s="28"/>
      <c r="P29" s="28"/>
      <c r="Q29" s="28"/>
      <c r="R29" s="28"/>
      <c r="S29" s="28"/>
      <c r="T29" s="28"/>
      <c r="U29" s="28"/>
      <c r="V29" s="28"/>
      <c r="W29" s="28"/>
      <c r="X29" s="28"/>
      <c r="Y29" s="28"/>
      <c r="Z29" s="28"/>
    </row>
    <row r="30" spans="1:26" ht="27.75" customHeight="1" x14ac:dyDescent="0.3">
      <c r="A30" s="151"/>
      <c r="B30" s="152" t="s">
        <v>415</v>
      </c>
      <c r="C30" s="142">
        <f>Sports!C10</f>
        <v>50</v>
      </c>
      <c r="D30" s="142">
        <f>Sports!D10</f>
        <v>20</v>
      </c>
      <c r="E30" s="142">
        <f>Sports!E10</f>
        <v>0</v>
      </c>
      <c r="F30" s="142">
        <f>Sports!F10</f>
        <v>50</v>
      </c>
      <c r="G30" s="142">
        <f>Sports!G10</f>
        <v>0</v>
      </c>
      <c r="H30" s="144">
        <f t="shared" si="0"/>
        <v>0</v>
      </c>
      <c r="I30" s="142">
        <f>Sports!I10</f>
        <v>0</v>
      </c>
      <c r="J30" s="142">
        <f>Sports!J10</f>
        <v>0</v>
      </c>
      <c r="K30" s="142">
        <f>Sports!K10</f>
        <v>0</v>
      </c>
      <c r="L30" s="144">
        <f t="shared" si="3"/>
        <v>0</v>
      </c>
      <c r="M30" s="145">
        <f t="shared" si="2"/>
        <v>0</v>
      </c>
      <c r="N30" s="28"/>
      <c r="O30" s="28"/>
      <c r="P30" s="28"/>
      <c r="Q30" s="28"/>
      <c r="R30" s="28"/>
      <c r="S30" s="28"/>
      <c r="T30" s="28"/>
      <c r="U30" s="28"/>
      <c r="V30" s="28"/>
      <c r="W30" s="28"/>
      <c r="X30" s="28"/>
      <c r="Y30" s="28"/>
      <c r="Z30" s="28"/>
    </row>
    <row r="31" spans="1:26" ht="27.75" customHeight="1" x14ac:dyDescent="0.3">
      <c r="A31" s="151"/>
      <c r="B31" s="152" t="s">
        <v>416</v>
      </c>
      <c r="C31" s="142">
        <f>Sports!C14</f>
        <v>355</v>
      </c>
      <c r="D31" s="142">
        <f>Sports!D14</f>
        <v>50</v>
      </c>
      <c r="E31" s="142">
        <f>Sports!E14</f>
        <v>0</v>
      </c>
      <c r="F31" s="142">
        <f>Sports!F14</f>
        <v>160</v>
      </c>
      <c r="G31" s="142">
        <f>Sports!G14</f>
        <v>300</v>
      </c>
      <c r="H31" s="144">
        <f t="shared" si="0"/>
        <v>105</v>
      </c>
      <c r="I31" s="142">
        <f>Sports!I14</f>
        <v>-402.75</v>
      </c>
      <c r="J31" s="142">
        <f>Sports!J14</f>
        <v>100.93</v>
      </c>
      <c r="K31" s="142">
        <f>Sports!K14</f>
        <v>0</v>
      </c>
      <c r="L31" s="144">
        <f t="shared" si="3"/>
        <v>-301.82</v>
      </c>
      <c r="M31" s="145">
        <f t="shared" si="2"/>
        <v>-406.82</v>
      </c>
      <c r="N31" s="28"/>
      <c r="O31" s="28"/>
      <c r="P31" s="28"/>
      <c r="Q31" s="28"/>
      <c r="R31" s="28"/>
      <c r="S31" s="28"/>
      <c r="T31" s="28"/>
      <c r="U31" s="28"/>
      <c r="V31" s="28"/>
      <c r="W31" s="28"/>
      <c r="X31" s="28"/>
      <c r="Y31" s="28"/>
      <c r="Z31" s="28"/>
    </row>
    <row r="32" spans="1:26" ht="27.75" customHeight="1" x14ac:dyDescent="0.3">
      <c r="A32" s="151"/>
      <c r="B32" s="152" t="s">
        <v>417</v>
      </c>
      <c r="C32" s="142">
        <f>Sports!C18</f>
        <v>50</v>
      </c>
      <c r="D32" s="142">
        <f>Sports!D18</f>
        <v>20</v>
      </c>
      <c r="E32" s="142">
        <f>Sports!E18</f>
        <v>0</v>
      </c>
      <c r="F32" s="142">
        <f>Sports!F18</f>
        <v>50</v>
      </c>
      <c r="G32" s="142">
        <f>Sports!G18</f>
        <v>0</v>
      </c>
      <c r="H32" s="144">
        <f t="shared" si="0"/>
        <v>0</v>
      </c>
      <c r="I32" s="146">
        <f>Sports!I18</f>
        <v>-21</v>
      </c>
      <c r="J32" s="146">
        <f>Sports!J18</f>
        <v>34.94</v>
      </c>
      <c r="K32" s="146">
        <f>Sports!K18</f>
        <v>0</v>
      </c>
      <c r="L32" s="144">
        <f t="shared" si="3"/>
        <v>13.939999999999998</v>
      </c>
      <c r="M32" s="145">
        <f t="shared" si="2"/>
        <v>13.939999999999998</v>
      </c>
      <c r="N32" s="28"/>
      <c r="O32" s="28"/>
      <c r="P32" s="28"/>
      <c r="Q32" s="28"/>
      <c r="R32" s="28"/>
      <c r="S32" s="28"/>
      <c r="T32" s="28"/>
      <c r="U32" s="28"/>
      <c r="V32" s="28"/>
      <c r="W32" s="28"/>
      <c r="X32" s="28"/>
      <c r="Y32" s="28"/>
      <c r="Z32" s="28"/>
    </row>
    <row r="33" spans="1:26" ht="27.75" customHeight="1" x14ac:dyDescent="0.3">
      <c r="A33" s="151"/>
      <c r="B33" s="152" t="s">
        <v>418</v>
      </c>
      <c r="C33" s="142">
        <f>Sports!C23</f>
        <v>260</v>
      </c>
      <c r="D33" s="142">
        <f>Sports!D23</f>
        <v>50</v>
      </c>
      <c r="E33" s="142">
        <f>Sports!E23</f>
        <v>0</v>
      </c>
      <c r="F33" s="142">
        <f>Sports!F23</f>
        <v>210</v>
      </c>
      <c r="G33" s="142">
        <f>Sports!G23</f>
        <v>0</v>
      </c>
      <c r="H33" s="144">
        <f t="shared" si="0"/>
        <v>-50</v>
      </c>
      <c r="I33" s="146">
        <f>Sports!I23</f>
        <v>0</v>
      </c>
      <c r="J33" s="146">
        <f>Sports!J23</f>
        <v>0</v>
      </c>
      <c r="K33" s="146">
        <f>Sports!K23</f>
        <v>0</v>
      </c>
      <c r="L33" s="144">
        <f t="shared" si="3"/>
        <v>0</v>
      </c>
      <c r="M33" s="145">
        <f t="shared" si="2"/>
        <v>50</v>
      </c>
      <c r="N33" s="28"/>
      <c r="O33" s="28"/>
      <c r="P33" s="28"/>
      <c r="Q33" s="28"/>
      <c r="R33" s="28"/>
      <c r="S33" s="28"/>
      <c r="T33" s="28"/>
      <c r="U33" s="28"/>
      <c r="V33" s="28"/>
      <c r="W33" s="28"/>
      <c r="X33" s="28"/>
      <c r="Y33" s="28"/>
      <c r="Z33" s="28"/>
    </row>
    <row r="34" spans="1:26" ht="27.75" customHeight="1" x14ac:dyDescent="0.3">
      <c r="A34" s="151"/>
      <c r="B34" s="152" t="s">
        <v>419</v>
      </c>
      <c r="C34" s="142">
        <f>Sports!C29</f>
        <v>340</v>
      </c>
      <c r="D34" s="142">
        <f>Sports!D29</f>
        <v>40</v>
      </c>
      <c r="E34" s="142">
        <f>Sports!E29</f>
        <v>0</v>
      </c>
      <c r="F34" s="142">
        <f>Sports!F29</f>
        <v>230</v>
      </c>
      <c r="G34" s="142">
        <f>Sports!G29</f>
        <v>130</v>
      </c>
      <c r="H34" s="144">
        <f t="shared" si="0"/>
        <v>20</v>
      </c>
      <c r="I34" s="146">
        <f>Sports!I29</f>
        <v>0</v>
      </c>
      <c r="J34" s="146">
        <f>Sports!J29</f>
        <v>0</v>
      </c>
      <c r="K34" s="146">
        <f>Sports!K29</f>
        <v>0</v>
      </c>
      <c r="L34" s="144">
        <f t="shared" si="3"/>
        <v>0</v>
      </c>
      <c r="M34" s="145">
        <f t="shared" si="2"/>
        <v>-20</v>
      </c>
      <c r="N34" s="28"/>
      <c r="O34" s="28"/>
      <c r="P34" s="28"/>
      <c r="Q34" s="28"/>
      <c r="R34" s="28"/>
      <c r="S34" s="28"/>
      <c r="T34" s="28"/>
      <c r="U34" s="28"/>
      <c r="V34" s="28"/>
      <c r="W34" s="28"/>
      <c r="X34" s="28"/>
      <c r="Y34" s="28"/>
      <c r="Z34" s="28"/>
    </row>
    <row r="35" spans="1:26" ht="27.75" customHeight="1" x14ac:dyDescent="0.3">
      <c r="A35" s="151"/>
      <c r="B35" s="152" t="s">
        <v>420</v>
      </c>
      <c r="C35" s="142">
        <f>Sports!C39</f>
        <v>360</v>
      </c>
      <c r="D35" s="142">
        <f>Sports!D39</f>
        <v>50</v>
      </c>
      <c r="E35" s="142">
        <f>Sports!E39</f>
        <v>0</v>
      </c>
      <c r="F35" s="142">
        <f>Sports!F39</f>
        <v>220</v>
      </c>
      <c r="G35" s="142">
        <f>Sports!G39</f>
        <v>0</v>
      </c>
      <c r="H35" s="144">
        <f t="shared" si="0"/>
        <v>-140</v>
      </c>
      <c r="I35" s="146">
        <f>Sports!I39</f>
        <v>0</v>
      </c>
      <c r="J35" s="146">
        <f>Party!J58</f>
        <v>0</v>
      </c>
      <c r="K35" s="146">
        <f>Party!K58</f>
        <v>0</v>
      </c>
      <c r="L35" s="144">
        <f t="shared" si="3"/>
        <v>0</v>
      </c>
      <c r="M35" s="145">
        <f t="shared" si="2"/>
        <v>140</v>
      </c>
      <c r="N35" s="28"/>
      <c r="O35" s="28"/>
      <c r="P35" s="28"/>
      <c r="Q35" s="28"/>
      <c r="R35" s="28"/>
      <c r="S35" s="28"/>
      <c r="T35" s="28"/>
      <c r="U35" s="28"/>
      <c r="V35" s="28"/>
      <c r="W35" s="28"/>
      <c r="X35" s="28"/>
      <c r="Y35" s="28"/>
      <c r="Z35" s="28"/>
    </row>
    <row r="36" spans="1:26" ht="27.75" customHeight="1" x14ac:dyDescent="0.3">
      <c r="A36" s="151"/>
      <c r="B36" s="152" t="s">
        <v>421</v>
      </c>
      <c r="C36" s="142">
        <f>Sports!C34</f>
        <v>85</v>
      </c>
      <c r="D36" s="142">
        <f>Sports!D34</f>
        <v>30</v>
      </c>
      <c r="E36" s="142">
        <f>Sports!E34</f>
        <v>0</v>
      </c>
      <c r="F36" s="142">
        <f>Sports!F34</f>
        <v>70</v>
      </c>
      <c r="G36" s="142">
        <f>Sports!G34</f>
        <v>0</v>
      </c>
      <c r="H36" s="144">
        <f t="shared" si="0"/>
        <v>-15</v>
      </c>
      <c r="I36" s="142">
        <f>Sports!I34</f>
        <v>0</v>
      </c>
      <c r="J36" s="142">
        <f>Sports!J34</f>
        <v>0</v>
      </c>
      <c r="K36" s="142">
        <f>Sports!K34</f>
        <v>0</v>
      </c>
      <c r="L36" s="144">
        <f t="shared" si="3"/>
        <v>0</v>
      </c>
      <c r="M36" s="145">
        <f t="shared" si="2"/>
        <v>15</v>
      </c>
      <c r="N36" s="28"/>
      <c r="O36" s="28"/>
      <c r="P36" s="28"/>
      <c r="Q36" s="28"/>
      <c r="R36" s="28"/>
      <c r="S36" s="28"/>
      <c r="T36" s="28"/>
      <c r="U36" s="28"/>
      <c r="V36" s="28"/>
      <c r="W36" s="28"/>
      <c r="X36" s="28"/>
      <c r="Y36" s="28"/>
      <c r="Z36" s="28"/>
    </row>
    <row r="37" spans="1:26" ht="27.75" customHeight="1" x14ac:dyDescent="0.3">
      <c r="A37" s="151"/>
      <c r="B37" s="152" t="s">
        <v>422</v>
      </c>
      <c r="C37" s="142">
        <f>Sports!C44</f>
        <v>190</v>
      </c>
      <c r="D37" s="142">
        <f>Sports!D44</f>
        <v>30</v>
      </c>
      <c r="E37" s="142">
        <f>Sports!E44</f>
        <v>0</v>
      </c>
      <c r="F37" s="142">
        <f>Sports!F44</f>
        <v>130</v>
      </c>
      <c r="G37" s="142">
        <f>Sports!G44</f>
        <v>50</v>
      </c>
      <c r="H37" s="144">
        <f t="shared" si="0"/>
        <v>-10</v>
      </c>
      <c r="I37" s="142">
        <f>Sports!I44</f>
        <v>0</v>
      </c>
      <c r="J37" s="142">
        <f>Sports!J44</f>
        <v>0</v>
      </c>
      <c r="K37" s="142">
        <f>Sports!K44</f>
        <v>0</v>
      </c>
      <c r="L37" s="144">
        <f t="shared" si="3"/>
        <v>0</v>
      </c>
      <c r="M37" s="145">
        <f t="shared" si="2"/>
        <v>10</v>
      </c>
      <c r="N37" s="28"/>
      <c r="O37" s="28"/>
      <c r="P37" s="28"/>
      <c r="Q37" s="28"/>
      <c r="R37" s="28"/>
      <c r="S37" s="28"/>
      <c r="T37" s="28"/>
      <c r="U37" s="28"/>
      <c r="V37" s="28"/>
      <c r="W37" s="28"/>
      <c r="X37" s="28"/>
      <c r="Y37" s="28"/>
      <c r="Z37" s="28"/>
    </row>
    <row r="38" spans="1:26" ht="27.75" customHeight="1" x14ac:dyDescent="0.3">
      <c r="A38" s="151"/>
      <c r="B38" s="152" t="s">
        <v>423</v>
      </c>
      <c r="C38" s="142">
        <f>Sports!C51</f>
        <v>880</v>
      </c>
      <c r="D38" s="142">
        <f>Sports!D51</f>
        <v>55</v>
      </c>
      <c r="E38" s="142">
        <f>Sports!E51</f>
        <v>0</v>
      </c>
      <c r="F38" s="142">
        <f>Sports!F51</f>
        <v>230</v>
      </c>
      <c r="G38" s="142">
        <f>Sports!G51</f>
        <v>400</v>
      </c>
      <c r="H38" s="144">
        <f t="shared" si="0"/>
        <v>-250</v>
      </c>
      <c r="I38" s="142">
        <f>Sports!I51</f>
        <v>0</v>
      </c>
      <c r="J38" s="142">
        <f>Sports!J51</f>
        <v>0</v>
      </c>
      <c r="K38" s="142">
        <f>Sports!K51</f>
        <v>0</v>
      </c>
      <c r="L38" s="144">
        <f t="shared" si="3"/>
        <v>0</v>
      </c>
      <c r="M38" s="145">
        <f t="shared" si="2"/>
        <v>250</v>
      </c>
      <c r="N38" s="28"/>
      <c r="O38" s="28"/>
      <c r="P38" s="28"/>
      <c r="Q38" s="28"/>
      <c r="R38" s="28"/>
      <c r="S38" s="28"/>
      <c r="T38" s="28"/>
      <c r="U38" s="28"/>
      <c r="V38" s="28"/>
      <c r="W38" s="28"/>
      <c r="X38" s="28"/>
      <c r="Y38" s="28"/>
      <c r="Z38" s="28"/>
    </row>
    <row r="39" spans="1:26" ht="27.75" customHeight="1" x14ac:dyDescent="0.3">
      <c r="A39" s="151"/>
      <c r="B39" s="152" t="s">
        <v>424</v>
      </c>
      <c r="C39" s="142">
        <f>Party!C11</f>
        <v>1680</v>
      </c>
      <c r="D39" s="142">
        <f>Party!D11</f>
        <v>250</v>
      </c>
      <c r="E39" s="142">
        <v>0</v>
      </c>
      <c r="F39" s="142">
        <f>Party!F11</f>
        <v>1890</v>
      </c>
      <c r="G39" s="142">
        <f>Party!G11</f>
        <v>0</v>
      </c>
      <c r="H39" s="144">
        <f t="shared" si="0"/>
        <v>210</v>
      </c>
      <c r="I39" s="142">
        <f>Party!I11</f>
        <v>-1540.77</v>
      </c>
      <c r="J39" s="142">
        <f>Party!J11</f>
        <v>1416.9200000000012</v>
      </c>
      <c r="K39" s="142">
        <f>Party!K11</f>
        <v>0</v>
      </c>
      <c r="L39" s="144">
        <f t="shared" si="3"/>
        <v>-123.84999999999877</v>
      </c>
      <c r="M39" s="145">
        <f t="shared" si="2"/>
        <v>-333.84999999999877</v>
      </c>
      <c r="N39" s="28"/>
      <c r="O39" s="28"/>
      <c r="P39" s="28"/>
      <c r="Q39" s="28"/>
      <c r="R39" s="28"/>
      <c r="S39" s="28"/>
      <c r="T39" s="28"/>
      <c r="U39" s="28"/>
      <c r="V39" s="28"/>
      <c r="W39" s="28"/>
      <c r="X39" s="28"/>
      <c r="Y39" s="28"/>
      <c r="Z39" s="28"/>
    </row>
    <row r="40" spans="1:26" ht="27.75" customHeight="1" x14ac:dyDescent="0.3">
      <c r="A40" s="151"/>
      <c r="B40" s="152" t="s">
        <v>425</v>
      </c>
      <c r="C40" s="142">
        <f>Party!C18</f>
        <v>500</v>
      </c>
      <c r="D40" s="143">
        <f>Party!D18</f>
        <v>105</v>
      </c>
      <c r="E40" s="142">
        <f>Party!E18</f>
        <v>0</v>
      </c>
      <c r="F40" s="142">
        <f>Party!F18</f>
        <v>345</v>
      </c>
      <c r="G40" s="142">
        <f>Party!G18</f>
        <v>0</v>
      </c>
      <c r="H40" s="144">
        <f t="shared" si="0"/>
        <v>-155</v>
      </c>
      <c r="I40" s="142">
        <f>Party!I18</f>
        <v>-470.69</v>
      </c>
      <c r="J40" s="142">
        <f>Party!J18</f>
        <v>470.86</v>
      </c>
      <c r="K40" s="142">
        <f>Party!K18</f>
        <v>0</v>
      </c>
      <c r="L40" s="144">
        <f t="shared" si="3"/>
        <v>0.17000000000001592</v>
      </c>
      <c r="M40" s="145">
        <f t="shared" si="2"/>
        <v>155.17000000000002</v>
      </c>
      <c r="N40" s="28"/>
      <c r="O40" s="28"/>
      <c r="P40" s="28"/>
      <c r="Q40" s="28"/>
      <c r="R40" s="28"/>
      <c r="S40" s="28"/>
      <c r="T40" s="28"/>
      <c r="U40" s="28"/>
      <c r="V40" s="28"/>
      <c r="W40" s="28"/>
      <c r="X40" s="28"/>
      <c r="Y40" s="28"/>
      <c r="Z40" s="28"/>
    </row>
    <row r="41" spans="1:26" ht="27.75" customHeight="1" x14ac:dyDescent="0.3">
      <c r="A41" s="151"/>
      <c r="B41" s="152" t="s">
        <v>426</v>
      </c>
      <c r="C41" s="142">
        <f>Party!C26</f>
        <v>1500</v>
      </c>
      <c r="D41" s="143">
        <f>Party!D26</f>
        <v>160</v>
      </c>
      <c r="E41" s="142">
        <f>Party!E26</f>
        <v>0</v>
      </c>
      <c r="F41" s="142">
        <f>Party!F26</f>
        <v>1310</v>
      </c>
      <c r="G41" s="142">
        <f>Party!G26</f>
        <v>0</v>
      </c>
      <c r="H41" s="144">
        <f t="shared" si="0"/>
        <v>-190</v>
      </c>
      <c r="I41" s="142">
        <f>Party!I26</f>
        <v>0</v>
      </c>
      <c r="J41" s="142">
        <f>Party!J26</f>
        <v>0</v>
      </c>
      <c r="K41" s="142">
        <f>Party!K26</f>
        <v>0</v>
      </c>
      <c r="L41" s="144">
        <f t="shared" si="3"/>
        <v>0</v>
      </c>
      <c r="M41" s="145">
        <f t="shared" si="2"/>
        <v>190</v>
      </c>
      <c r="N41" s="28"/>
      <c r="O41" s="28"/>
      <c r="P41" s="28"/>
      <c r="Q41" s="28"/>
      <c r="R41" s="28"/>
      <c r="S41" s="28"/>
      <c r="T41" s="28"/>
      <c r="U41" s="28"/>
      <c r="V41" s="28"/>
      <c r="W41" s="28"/>
      <c r="X41" s="28"/>
      <c r="Y41" s="28"/>
      <c r="Z41" s="28"/>
    </row>
    <row r="42" spans="1:26" ht="27.75" customHeight="1" x14ac:dyDescent="0.3">
      <c r="A42" s="151"/>
      <c r="B42" s="152" t="s">
        <v>427</v>
      </c>
      <c r="C42" s="142">
        <f>Party!C33</f>
        <v>630</v>
      </c>
      <c r="D42" s="142">
        <f>Party!D33</f>
        <v>100</v>
      </c>
      <c r="E42" s="142">
        <f>Party!E33</f>
        <v>0</v>
      </c>
      <c r="F42" s="142">
        <f>Party!F33</f>
        <v>740</v>
      </c>
      <c r="G42" s="142">
        <f>Party!G33</f>
        <v>0</v>
      </c>
      <c r="H42" s="144">
        <f t="shared" si="0"/>
        <v>110</v>
      </c>
      <c r="I42" s="142">
        <f>Party!I33</f>
        <v>-385.7</v>
      </c>
      <c r="J42" s="142">
        <f>Party!J33</f>
        <v>595.25000000000011</v>
      </c>
      <c r="K42" s="142">
        <f>Party!K33</f>
        <v>0</v>
      </c>
      <c r="L42" s="144">
        <f t="shared" si="3"/>
        <v>209.55000000000013</v>
      </c>
      <c r="M42" s="145">
        <f t="shared" si="2"/>
        <v>99.550000000000125</v>
      </c>
      <c r="N42" s="28"/>
      <c r="O42" s="28"/>
      <c r="P42" s="28"/>
      <c r="Q42" s="28"/>
      <c r="R42" s="28"/>
      <c r="S42" s="28"/>
      <c r="T42" s="28"/>
      <c r="U42" s="28"/>
      <c r="V42" s="28"/>
      <c r="W42" s="28"/>
      <c r="X42" s="28"/>
      <c r="Y42" s="28"/>
      <c r="Z42" s="28"/>
    </row>
    <row r="43" spans="1:26" ht="27.75" customHeight="1" x14ac:dyDescent="0.3">
      <c r="A43" s="151"/>
      <c r="B43" s="152" t="s">
        <v>428</v>
      </c>
      <c r="C43" s="142">
        <f>Party!C37</f>
        <v>0</v>
      </c>
      <c r="D43" s="143">
        <f>Party!D37</f>
        <v>175</v>
      </c>
      <c r="E43" s="142">
        <f>Party!E37</f>
        <v>0</v>
      </c>
      <c r="F43" s="142">
        <f>Party!F37</f>
        <v>0</v>
      </c>
      <c r="G43" s="142">
        <f>Party!G37</f>
        <v>0</v>
      </c>
      <c r="H43" s="144">
        <f t="shared" si="0"/>
        <v>0</v>
      </c>
      <c r="I43" s="146">
        <f>Party!I37</f>
        <v>0</v>
      </c>
      <c r="J43" s="146">
        <f>Party!J37</f>
        <v>0</v>
      </c>
      <c r="K43" s="146">
        <f>Party!K37</f>
        <v>0</v>
      </c>
      <c r="L43" s="144">
        <f t="shared" si="3"/>
        <v>0</v>
      </c>
      <c r="M43" s="145">
        <f t="shared" si="2"/>
        <v>0</v>
      </c>
      <c r="N43" s="28"/>
      <c r="O43" s="28"/>
      <c r="P43" s="28"/>
      <c r="Q43" s="28"/>
      <c r="R43" s="28"/>
      <c r="S43" s="28"/>
      <c r="T43" s="28"/>
      <c r="U43" s="28"/>
      <c r="V43" s="28"/>
      <c r="W43" s="28"/>
      <c r="X43" s="28"/>
      <c r="Y43" s="28"/>
      <c r="Z43" s="28"/>
    </row>
    <row r="44" spans="1:26" ht="27.75" customHeight="1" x14ac:dyDescent="0.3">
      <c r="A44" s="151"/>
      <c r="B44" s="152" t="s">
        <v>429</v>
      </c>
      <c r="C44" s="142">
        <f>Party!C43</f>
        <v>350</v>
      </c>
      <c r="D44" s="142">
        <f>Party!D43</f>
        <v>100</v>
      </c>
      <c r="E44" s="142">
        <f>Party!E43</f>
        <v>0</v>
      </c>
      <c r="F44" s="142">
        <f>Party!F43</f>
        <v>340</v>
      </c>
      <c r="G44" s="142">
        <f>Party!G43</f>
        <v>0</v>
      </c>
      <c r="H44" s="144">
        <f t="shared" si="0"/>
        <v>-10</v>
      </c>
      <c r="I44" s="146">
        <f>Party!I43</f>
        <v>0</v>
      </c>
      <c r="J44" s="146">
        <f>Party!J43</f>
        <v>0</v>
      </c>
      <c r="K44" s="146">
        <f>Party!K43</f>
        <v>0</v>
      </c>
      <c r="L44" s="144">
        <f t="shared" si="3"/>
        <v>0</v>
      </c>
      <c r="M44" s="145">
        <f t="shared" si="2"/>
        <v>10</v>
      </c>
      <c r="N44" s="28"/>
      <c r="O44" s="28"/>
      <c r="P44" s="28"/>
      <c r="Q44" s="28"/>
      <c r="R44" s="28"/>
      <c r="S44" s="28"/>
      <c r="T44" s="28"/>
      <c r="U44" s="28"/>
      <c r="V44" s="28"/>
      <c r="W44" s="28"/>
      <c r="X44" s="28"/>
      <c r="Y44" s="28"/>
      <c r="Z44" s="28"/>
    </row>
    <row r="45" spans="1:26" ht="27.75" customHeight="1" x14ac:dyDescent="0.3">
      <c r="A45" s="151"/>
      <c r="B45" s="152" t="s">
        <v>430</v>
      </c>
      <c r="C45" s="142">
        <f>Party!C51</f>
        <v>8650</v>
      </c>
      <c r="D45" s="142">
        <f>Party!D51</f>
        <v>280</v>
      </c>
      <c r="E45" s="142">
        <f>Party!E51</f>
        <v>0</v>
      </c>
      <c r="F45" s="142">
        <f>Party!F51</f>
        <v>6840</v>
      </c>
      <c r="G45" s="142">
        <f>Party!G51</f>
        <v>0</v>
      </c>
      <c r="H45" s="144">
        <f t="shared" si="0"/>
        <v>-1810</v>
      </c>
      <c r="I45" s="142">
        <f>Party!I51</f>
        <v>0</v>
      </c>
      <c r="J45" s="142">
        <f>Party!J51</f>
        <v>0</v>
      </c>
      <c r="K45" s="142">
        <f>Party!K51</f>
        <v>0</v>
      </c>
      <c r="L45" s="144">
        <f t="shared" si="3"/>
        <v>0</v>
      </c>
      <c r="M45" s="145">
        <f t="shared" si="2"/>
        <v>1810</v>
      </c>
      <c r="N45" s="28"/>
      <c r="O45" s="28"/>
      <c r="P45" s="28"/>
      <c r="Q45" s="28"/>
      <c r="R45" s="28"/>
      <c r="S45" s="28"/>
      <c r="T45" s="28"/>
      <c r="U45" s="28"/>
      <c r="V45" s="28"/>
      <c r="W45" s="28"/>
      <c r="X45" s="28"/>
      <c r="Y45" s="28"/>
      <c r="Z45" s="28"/>
    </row>
    <row r="46" spans="1:26" ht="27.75" customHeight="1" x14ac:dyDescent="0.3">
      <c r="A46" s="151"/>
      <c r="B46" s="152" t="s">
        <v>431</v>
      </c>
      <c r="C46" s="142">
        <f>Party!C58</f>
        <v>3686.81</v>
      </c>
      <c r="D46" s="142">
        <f>Party!D58</f>
        <v>150</v>
      </c>
      <c r="E46" s="142">
        <f>Party!E58</f>
        <v>0</v>
      </c>
      <c r="F46" s="142">
        <f>Party!F58</f>
        <v>1710</v>
      </c>
      <c r="G46" s="142">
        <f>Party!G58</f>
        <v>0</v>
      </c>
      <c r="H46" s="144">
        <f t="shared" si="0"/>
        <v>-1976.81</v>
      </c>
      <c r="I46" s="146">
        <f>Party!I58</f>
        <v>0</v>
      </c>
      <c r="J46" s="146">
        <f>Party!J58</f>
        <v>0</v>
      </c>
      <c r="K46" s="146">
        <f>Party!K58</f>
        <v>0</v>
      </c>
      <c r="L46" s="144">
        <f t="shared" si="3"/>
        <v>0</v>
      </c>
      <c r="M46" s="145">
        <f t="shared" si="2"/>
        <v>1976.81</v>
      </c>
      <c r="N46" s="28"/>
      <c r="O46" s="28"/>
      <c r="P46" s="28"/>
      <c r="Q46" s="28"/>
      <c r="R46" s="28"/>
      <c r="S46" s="28"/>
      <c r="T46" s="28"/>
      <c r="U46" s="28"/>
      <c r="V46" s="28"/>
      <c r="W46" s="28"/>
      <c r="X46" s="28"/>
      <c r="Y46" s="28"/>
      <c r="Z46" s="28"/>
    </row>
    <row r="47" spans="1:26" ht="27.75" customHeight="1" x14ac:dyDescent="0.3">
      <c r="A47" s="151"/>
      <c r="B47" s="152" t="s">
        <v>432</v>
      </c>
      <c r="C47" s="142">
        <f>'Cross-Connect'!C8</f>
        <v>500</v>
      </c>
      <c r="D47" s="142">
        <f>'Cross-Connect'!D8</f>
        <v>120</v>
      </c>
      <c r="E47" s="142">
        <f>'Cross-Connect'!E8</f>
        <v>0</v>
      </c>
      <c r="F47" s="142">
        <f>'Cross-Connect'!F8</f>
        <v>400</v>
      </c>
      <c r="G47" s="142">
        <f>'Cross-Connect'!G8</f>
        <v>250</v>
      </c>
      <c r="H47" s="144">
        <f t="shared" si="0"/>
        <v>150</v>
      </c>
      <c r="I47" s="146">
        <f>'Cross-Connect'!I8</f>
        <v>0</v>
      </c>
      <c r="J47" s="146">
        <f>'Cross-Connect'!J8</f>
        <v>0</v>
      </c>
      <c r="K47" s="146">
        <f>'Cross-Connect'!K8</f>
        <v>0</v>
      </c>
      <c r="L47" s="144">
        <f t="shared" si="3"/>
        <v>0</v>
      </c>
      <c r="M47" s="145">
        <f t="shared" si="2"/>
        <v>-150</v>
      </c>
      <c r="N47" s="28"/>
      <c r="O47" s="28"/>
      <c r="P47" s="28"/>
      <c r="Q47" s="28"/>
      <c r="R47" s="28"/>
      <c r="S47" s="28"/>
      <c r="T47" s="28"/>
      <c r="U47" s="28"/>
      <c r="V47" s="28"/>
      <c r="W47" s="28"/>
      <c r="X47" s="28"/>
      <c r="Y47" s="28"/>
      <c r="Z47" s="28"/>
    </row>
    <row r="48" spans="1:26" ht="27.75" customHeight="1" x14ac:dyDescent="0.3">
      <c r="A48" s="151"/>
      <c r="B48" s="152" t="s">
        <v>433</v>
      </c>
      <c r="C48" s="142">
        <f>'Cross-Connect'!C13</f>
        <v>420</v>
      </c>
      <c r="D48" s="142">
        <f>'Cross-Connect'!D13</f>
        <v>105</v>
      </c>
      <c r="E48" s="142">
        <f>'Cross-Connect'!E13</f>
        <v>0</v>
      </c>
      <c r="F48" s="142">
        <f>'Cross-Connect'!F13</f>
        <v>345</v>
      </c>
      <c r="G48" s="142">
        <f>'Cross-Connect'!G13</f>
        <v>0</v>
      </c>
      <c r="H48" s="144">
        <f t="shared" si="0"/>
        <v>-75</v>
      </c>
      <c r="I48" s="146">
        <f>'Cross-Connect'!I13</f>
        <v>0</v>
      </c>
      <c r="J48" s="146">
        <f>'Cross-Connect'!J13</f>
        <v>0</v>
      </c>
      <c r="K48" s="146">
        <f>'Cross-Connect'!K13</f>
        <v>0</v>
      </c>
      <c r="L48" s="144">
        <f t="shared" si="3"/>
        <v>0</v>
      </c>
      <c r="M48" s="145">
        <f t="shared" si="2"/>
        <v>75</v>
      </c>
      <c r="N48" s="28"/>
      <c r="O48" s="28"/>
      <c r="P48" s="28"/>
      <c r="Q48" s="28"/>
      <c r="R48" s="28"/>
      <c r="S48" s="28"/>
      <c r="T48" s="28"/>
      <c r="U48" s="28"/>
      <c r="V48" s="28"/>
      <c r="W48" s="28"/>
      <c r="X48" s="28"/>
      <c r="Y48" s="28"/>
      <c r="Z48" s="28"/>
    </row>
    <row r="49" spans="1:26" ht="27.75" customHeight="1" x14ac:dyDescent="0.3">
      <c r="A49" s="151"/>
      <c r="B49" s="152" t="s">
        <v>434</v>
      </c>
      <c r="C49" s="142">
        <f>'Cross-Connect'!C18</f>
        <v>80</v>
      </c>
      <c r="D49" s="142">
        <f>'Cross-Connect'!D18</f>
        <v>0</v>
      </c>
      <c r="E49" s="142">
        <f>'Cross-Connect'!E18</f>
        <v>0</v>
      </c>
      <c r="F49" s="142">
        <f>'Cross-Connect'!F18</f>
        <v>80</v>
      </c>
      <c r="G49" s="142">
        <f>'Cross-Connect'!G18</f>
        <v>50</v>
      </c>
      <c r="H49" s="144">
        <f t="shared" si="0"/>
        <v>50</v>
      </c>
      <c r="I49" s="146">
        <f>'Cross-Connect'!I18</f>
        <v>0</v>
      </c>
      <c r="J49" s="146">
        <f>'Cross-Connect'!J18</f>
        <v>0</v>
      </c>
      <c r="K49" s="146">
        <f>'Cross-Connect'!K18</f>
        <v>0</v>
      </c>
      <c r="L49" s="144">
        <f t="shared" si="3"/>
        <v>0</v>
      </c>
      <c r="M49" s="145">
        <f t="shared" si="2"/>
        <v>-50</v>
      </c>
      <c r="N49" s="28"/>
      <c r="O49" s="28"/>
      <c r="P49" s="28"/>
      <c r="Q49" s="28"/>
      <c r="R49" s="28"/>
      <c r="S49" s="28"/>
      <c r="T49" s="28"/>
      <c r="U49" s="28"/>
      <c r="V49" s="28"/>
      <c r="W49" s="28"/>
      <c r="X49" s="28"/>
      <c r="Y49" s="28"/>
      <c r="Z49" s="28"/>
    </row>
    <row r="50" spans="1:26" ht="27.75" customHeight="1" x14ac:dyDescent="0.3">
      <c r="A50" s="151"/>
      <c r="B50" s="152" t="s">
        <v>435</v>
      </c>
      <c r="C50" s="142">
        <f>Travel!C8</f>
        <v>2200</v>
      </c>
      <c r="D50" s="142">
        <f>Travel!D8</f>
        <v>51</v>
      </c>
      <c r="E50" s="142">
        <f>Travel!E8</f>
        <v>0</v>
      </c>
      <c r="F50" s="142">
        <f>Travel!F8</f>
        <v>591</v>
      </c>
      <c r="G50" s="142">
        <f>Travel!G8</f>
        <v>1600</v>
      </c>
      <c r="H50" s="144">
        <f t="shared" si="0"/>
        <v>-9</v>
      </c>
      <c r="I50" s="146">
        <f>Travel!I8</f>
        <v>-1764.45</v>
      </c>
      <c r="J50" s="146">
        <f>Travel!J8</f>
        <v>499.69999999999982</v>
      </c>
      <c r="K50" s="146">
        <f>Travel!K8</f>
        <v>0</v>
      </c>
      <c r="L50" s="144">
        <f t="shared" si="3"/>
        <v>-1264.7500000000002</v>
      </c>
      <c r="M50" s="145">
        <f t="shared" si="2"/>
        <v>-1255.7500000000002</v>
      </c>
      <c r="N50" s="28"/>
      <c r="O50" s="28"/>
      <c r="P50" s="28"/>
      <c r="Q50" s="28"/>
      <c r="R50" s="28"/>
      <c r="S50" s="28"/>
      <c r="T50" s="28"/>
      <c r="U50" s="28"/>
      <c r="V50" s="28"/>
      <c r="W50" s="28"/>
      <c r="X50" s="28"/>
      <c r="Y50" s="28"/>
      <c r="Z50" s="28"/>
    </row>
    <row r="51" spans="1:26" ht="27.75" customHeight="1" x14ac:dyDescent="0.3">
      <c r="A51" s="151"/>
      <c r="B51" s="152" t="s">
        <v>436</v>
      </c>
      <c r="C51" s="142">
        <f>Travel!C13</f>
        <v>1430</v>
      </c>
      <c r="D51" s="142">
        <f>Travel!D13</f>
        <v>30</v>
      </c>
      <c r="E51" s="142">
        <f>Travel!E13</f>
        <v>0</v>
      </c>
      <c r="F51" s="142">
        <f>Travel!F13</f>
        <v>190</v>
      </c>
      <c r="G51" s="142">
        <f>Travel!G13</f>
        <v>1200</v>
      </c>
      <c r="H51" s="144">
        <f t="shared" si="0"/>
        <v>-40</v>
      </c>
      <c r="I51" s="146">
        <f>Travel!I13</f>
        <v>0</v>
      </c>
      <c r="J51" s="146">
        <f>Travel!J13</f>
        <v>0</v>
      </c>
      <c r="K51" s="146">
        <f>Travel!K13</f>
        <v>0</v>
      </c>
      <c r="L51" s="144">
        <f t="shared" si="3"/>
        <v>0</v>
      </c>
      <c r="M51" s="145">
        <f t="shared" si="2"/>
        <v>40</v>
      </c>
      <c r="N51" s="28"/>
      <c r="O51" s="28"/>
      <c r="P51" s="28"/>
      <c r="Q51" s="28"/>
      <c r="R51" s="28"/>
      <c r="S51" s="28"/>
      <c r="T51" s="28"/>
      <c r="U51" s="28"/>
      <c r="V51" s="28"/>
      <c r="W51" s="28"/>
      <c r="X51" s="28"/>
      <c r="Y51" s="28"/>
      <c r="Z51" s="28"/>
    </row>
    <row r="52" spans="1:26" ht="27.75" customHeight="1" x14ac:dyDescent="0.3">
      <c r="A52" s="151"/>
      <c r="B52" s="152" t="s">
        <v>437</v>
      </c>
      <c r="C52" s="142">
        <f>Travel!C19</f>
        <v>1780</v>
      </c>
      <c r="D52" s="142">
        <f>Travel!D19</f>
        <v>41</v>
      </c>
      <c r="E52" s="142">
        <f>Travel!E19</f>
        <v>0</v>
      </c>
      <c r="F52" s="142">
        <f>Travel!F19</f>
        <v>338</v>
      </c>
      <c r="G52" s="142">
        <f>Travel!G19</f>
        <v>1200</v>
      </c>
      <c r="H52" s="144">
        <f t="shared" si="0"/>
        <v>-242</v>
      </c>
      <c r="I52" s="146">
        <f>Travel!I19</f>
        <v>0</v>
      </c>
      <c r="J52" s="146">
        <f>Travel!J19</f>
        <v>0</v>
      </c>
      <c r="K52" s="146">
        <f>Travel!K19</f>
        <v>0</v>
      </c>
      <c r="L52" s="144">
        <f t="shared" si="3"/>
        <v>0</v>
      </c>
      <c r="M52" s="145">
        <f t="shared" si="2"/>
        <v>242</v>
      </c>
      <c r="N52" s="28"/>
      <c r="O52" s="28"/>
      <c r="P52" s="28"/>
      <c r="Q52" s="28"/>
      <c r="R52" s="28"/>
      <c r="S52" s="28"/>
      <c r="T52" s="28"/>
      <c r="U52" s="28"/>
      <c r="V52" s="28"/>
      <c r="W52" s="28"/>
      <c r="X52" s="28"/>
      <c r="Y52" s="28"/>
      <c r="Z52" s="28"/>
    </row>
    <row r="53" spans="1:26" ht="27.75" customHeight="1" x14ac:dyDescent="0.3">
      <c r="A53" s="151"/>
      <c r="B53" s="152" t="s">
        <v>438</v>
      </c>
      <c r="C53" s="142">
        <f>Travel!C28</f>
        <v>10180</v>
      </c>
      <c r="D53" s="142">
        <f>Travel!D28</f>
        <v>61</v>
      </c>
      <c r="E53" s="142">
        <f>Travel!E28</f>
        <v>0</v>
      </c>
      <c r="F53" s="142">
        <f>Travel!F28</f>
        <v>8020</v>
      </c>
      <c r="G53" s="142">
        <f>Travel!G28</f>
        <v>0</v>
      </c>
      <c r="H53" s="144">
        <f t="shared" si="0"/>
        <v>-2160</v>
      </c>
      <c r="I53" s="146">
        <f>Travel!I28</f>
        <v>-589.52</v>
      </c>
      <c r="J53" s="146">
        <f>Travel!J28</f>
        <v>0</v>
      </c>
      <c r="K53" s="146">
        <f>Travel!K28</f>
        <v>0</v>
      </c>
      <c r="L53" s="144">
        <f t="shared" si="3"/>
        <v>-589.52</v>
      </c>
      <c r="M53" s="145">
        <f t="shared" si="2"/>
        <v>1570.48</v>
      </c>
      <c r="N53" s="28"/>
      <c r="O53" s="28"/>
      <c r="P53" s="28"/>
      <c r="Q53" s="28"/>
      <c r="R53" s="28"/>
      <c r="S53" s="28"/>
      <c r="T53" s="28"/>
      <c r="U53" s="28"/>
      <c r="V53" s="28"/>
      <c r="W53" s="28"/>
      <c r="X53" s="28"/>
      <c r="Y53" s="28"/>
      <c r="Z53" s="28"/>
    </row>
    <row r="54" spans="1:26" ht="27.75" customHeight="1" x14ac:dyDescent="0.3">
      <c r="A54" s="151"/>
      <c r="B54" s="153" t="s">
        <v>82</v>
      </c>
      <c r="C54" s="142">
        <f>'AIM Week'!C10</f>
        <v>5400</v>
      </c>
      <c r="D54" s="143">
        <f>'AIM Week'!D10</f>
        <v>200</v>
      </c>
      <c r="E54" s="142">
        <f>'AIM Week'!E10</f>
        <v>0</v>
      </c>
      <c r="F54" s="142">
        <f>'AIM Week'!F10</f>
        <v>3800</v>
      </c>
      <c r="G54" s="142">
        <f>'AIM Week'!G10</f>
        <v>0</v>
      </c>
      <c r="H54" s="144">
        <f t="shared" si="0"/>
        <v>-1600</v>
      </c>
      <c r="I54" s="142">
        <f>'AIM Week'!I10</f>
        <v>0</v>
      </c>
      <c r="J54" s="142">
        <f>'AIM Week'!J10</f>
        <v>0</v>
      </c>
      <c r="K54" s="142">
        <f>'AIM Week'!K10</f>
        <v>0</v>
      </c>
      <c r="L54" s="144">
        <f t="shared" si="3"/>
        <v>0</v>
      </c>
      <c r="M54" s="145">
        <f t="shared" si="2"/>
        <v>1600</v>
      </c>
      <c r="N54" s="28"/>
      <c r="O54" s="28"/>
      <c r="P54" s="28"/>
      <c r="Q54" s="28"/>
      <c r="R54" s="28"/>
      <c r="S54" s="28"/>
      <c r="T54" s="28"/>
      <c r="U54" s="28"/>
      <c r="V54" s="28"/>
      <c r="W54" s="28"/>
      <c r="X54" s="28"/>
      <c r="Y54" s="28"/>
      <c r="Z54" s="28"/>
    </row>
    <row r="55" spans="1:26" ht="27.75" customHeight="1" x14ac:dyDescent="0.3">
      <c r="A55" s="151"/>
      <c r="B55" s="154" t="s">
        <v>439</v>
      </c>
      <c r="C55" s="142">
        <f>'Amsterdam Unlocked'!C7</f>
        <v>3900</v>
      </c>
      <c r="D55" s="143">
        <f>'Amsterdam Unlocked'!D7</f>
        <v>0</v>
      </c>
      <c r="E55" s="142">
        <f>'Amsterdam Unlocked'!E7</f>
        <v>0</v>
      </c>
      <c r="F55" s="142">
        <f>'Amsterdam Unlocked'!F7</f>
        <v>4443.92</v>
      </c>
      <c r="G55" s="142">
        <f>'Amsterdam Unlocked'!G7</f>
        <v>0</v>
      </c>
      <c r="H55" s="144">
        <f t="shared" si="0"/>
        <v>543.92000000000007</v>
      </c>
      <c r="I55" s="146">
        <f>'Amsterdam Unlocked'!I7</f>
        <v>0</v>
      </c>
      <c r="J55" s="142">
        <f>'Amsterdam Unlocked'!J7</f>
        <v>0</v>
      </c>
      <c r="K55" s="142">
        <f>'Amsterdam Unlocked'!K7</f>
        <v>0</v>
      </c>
      <c r="L55" s="144">
        <f t="shared" si="3"/>
        <v>0</v>
      </c>
      <c r="M55" s="145">
        <f t="shared" si="2"/>
        <v>-543.92000000000007</v>
      </c>
      <c r="N55" s="28"/>
      <c r="O55" s="28"/>
      <c r="P55" s="28"/>
      <c r="Q55" s="28"/>
      <c r="R55" s="28"/>
      <c r="S55" s="28"/>
      <c r="T55" s="28"/>
      <c r="U55" s="28"/>
      <c r="V55" s="28"/>
      <c r="W55" s="28"/>
      <c r="X55" s="28"/>
      <c r="Y55" s="28"/>
      <c r="Z55" s="28"/>
    </row>
    <row r="56" spans="1:26" ht="27.75" customHeight="1" x14ac:dyDescent="0.3">
      <c r="A56" s="151"/>
      <c r="B56" s="155" t="s">
        <v>440</v>
      </c>
      <c r="C56" s="142">
        <f>TYW!C13</f>
        <v>16865</v>
      </c>
      <c r="D56" s="143">
        <f>TYW!D13</f>
        <v>100</v>
      </c>
      <c r="E56" s="142">
        <f>TYW!E13</f>
        <v>0</v>
      </c>
      <c r="F56" s="142">
        <f>TYW!F13</f>
        <v>6435</v>
      </c>
      <c r="G56" s="142">
        <f>TYW!G13</f>
        <v>9000</v>
      </c>
      <c r="H56" s="144">
        <f t="shared" si="0"/>
        <v>-1430</v>
      </c>
      <c r="I56" s="142">
        <f>TYW!I13</f>
        <v>-1362.5</v>
      </c>
      <c r="J56" s="142">
        <f>TYW!J13</f>
        <v>0</v>
      </c>
      <c r="K56" s="142">
        <f>TYW!K13</f>
        <v>0</v>
      </c>
      <c r="L56" s="144">
        <f t="shared" si="3"/>
        <v>-1362.5</v>
      </c>
      <c r="M56" s="145">
        <f t="shared" si="2"/>
        <v>67.5</v>
      </c>
      <c r="N56" s="28"/>
      <c r="O56" s="28"/>
      <c r="P56" s="28"/>
      <c r="Q56" s="28"/>
      <c r="R56" s="28"/>
      <c r="S56" s="28"/>
      <c r="T56" s="28"/>
      <c r="U56" s="28"/>
      <c r="V56" s="28"/>
      <c r="W56" s="28"/>
      <c r="X56" s="28"/>
      <c r="Y56" s="28"/>
      <c r="Z56" s="28"/>
    </row>
    <row r="57" spans="1:26" ht="27.75" customHeight="1" x14ac:dyDescent="0.3">
      <c r="A57" s="151"/>
      <c r="B57" s="156" t="s">
        <v>441</v>
      </c>
      <c r="C57" s="142">
        <f>'AIM Sports Teams'!C3</f>
        <v>50</v>
      </c>
      <c r="D57" s="143">
        <f>'AIM Sports Teams'!D3</f>
        <v>0</v>
      </c>
      <c r="E57" s="142">
        <f>'AIM Sports Teams'!E3</f>
        <v>0</v>
      </c>
      <c r="F57" s="142">
        <f>'AIM Sports Teams'!F3</f>
        <v>0</v>
      </c>
      <c r="G57" s="142">
        <f>'AIM Sports Teams'!G3</f>
        <v>50</v>
      </c>
      <c r="H57" s="144">
        <f t="shared" si="0"/>
        <v>0</v>
      </c>
      <c r="I57" s="142">
        <f>'AIM Sports Teams'!I3</f>
        <v>0</v>
      </c>
      <c r="J57" s="142">
        <f>'AIM Sports Teams'!J3</f>
        <v>0</v>
      </c>
      <c r="K57" s="142">
        <f>'AIM Sports Teams'!K3</f>
        <v>0</v>
      </c>
      <c r="L57" s="144">
        <f t="shared" si="3"/>
        <v>0</v>
      </c>
      <c r="M57" s="145">
        <f t="shared" si="2"/>
        <v>0</v>
      </c>
      <c r="N57" s="28"/>
      <c r="O57" s="28"/>
      <c r="P57" s="28"/>
      <c r="Q57" s="28"/>
      <c r="R57" s="28"/>
      <c r="S57" s="28"/>
      <c r="T57" s="28"/>
      <c r="U57" s="28"/>
      <c r="V57" s="28"/>
      <c r="W57" s="28"/>
      <c r="X57" s="28"/>
      <c r="Y57" s="28"/>
      <c r="Z57" s="28"/>
    </row>
    <row r="58" spans="1:26" ht="27.75" customHeight="1" x14ac:dyDescent="0.3">
      <c r="A58" s="151"/>
      <c r="B58" s="156" t="s">
        <v>442</v>
      </c>
      <c r="C58" s="142">
        <f>'AIM Sports Teams'!C8</f>
        <v>950</v>
      </c>
      <c r="D58" s="143">
        <f>'AIM Sports Teams'!D8</f>
        <v>0</v>
      </c>
      <c r="E58" s="142">
        <f>'AIM Sports Teams'!E8</f>
        <v>0</v>
      </c>
      <c r="F58" s="142">
        <f>'AIM Sports Teams'!F8</f>
        <v>0</v>
      </c>
      <c r="G58" s="142">
        <f>'AIM Sports Teams'!G8</f>
        <v>900</v>
      </c>
      <c r="H58" s="144">
        <f t="shared" si="0"/>
        <v>-50</v>
      </c>
      <c r="I58" s="142">
        <f>'AIM Sports Teams'!I8</f>
        <v>-524</v>
      </c>
      <c r="J58" s="142">
        <f>'AIM Sports Teams'!J8</f>
        <v>0</v>
      </c>
      <c r="K58" s="142">
        <f>'AIM Sports Teams'!K8</f>
        <v>0</v>
      </c>
      <c r="L58" s="144">
        <f t="shared" si="3"/>
        <v>-524</v>
      </c>
      <c r="M58" s="145">
        <f t="shared" si="2"/>
        <v>-474</v>
      </c>
      <c r="N58" s="28"/>
      <c r="O58" s="28"/>
      <c r="P58" s="28"/>
      <c r="Q58" s="28"/>
      <c r="R58" s="28"/>
      <c r="S58" s="28"/>
      <c r="T58" s="28"/>
      <c r="U58" s="28"/>
      <c r="V58" s="28"/>
      <c r="W58" s="28"/>
      <c r="X58" s="28"/>
      <c r="Y58" s="28"/>
      <c r="Z58" s="28"/>
    </row>
    <row r="59" spans="1:26" ht="27.75" customHeight="1" x14ac:dyDescent="0.3">
      <c r="A59" s="151"/>
      <c r="B59" s="157" t="s">
        <v>443</v>
      </c>
      <c r="C59" s="142">
        <f>FMW!C13</f>
        <v>24850</v>
      </c>
      <c r="D59" s="143">
        <f>FMW!D13</f>
        <v>180</v>
      </c>
      <c r="E59" s="142">
        <f>FMW!E13</f>
        <v>0</v>
      </c>
      <c r="F59" s="142">
        <f>FMW!F13</f>
        <v>11700</v>
      </c>
      <c r="G59" s="142">
        <f>FMW!G13</f>
        <v>13300</v>
      </c>
      <c r="H59" s="144">
        <f t="shared" si="0"/>
        <v>150</v>
      </c>
      <c r="I59" s="142">
        <f>FMW!I13</f>
        <v>0</v>
      </c>
      <c r="J59" s="142">
        <f>FMW!J13</f>
        <v>0</v>
      </c>
      <c r="K59" s="142">
        <f>FMW!K13</f>
        <v>0</v>
      </c>
      <c r="L59" s="144">
        <f t="shared" si="3"/>
        <v>0</v>
      </c>
      <c r="M59" s="145">
        <f t="shared" si="2"/>
        <v>-150</v>
      </c>
      <c r="N59" s="28"/>
      <c r="O59" s="28"/>
      <c r="P59" s="28"/>
      <c r="Q59" s="28"/>
      <c r="R59" s="28"/>
      <c r="S59" s="28"/>
      <c r="T59" s="28"/>
      <c r="U59" s="28"/>
      <c r="V59" s="28"/>
      <c r="W59" s="28"/>
      <c r="X59" s="28"/>
      <c r="Y59" s="28"/>
      <c r="Z59" s="28"/>
    </row>
    <row r="60" spans="1:26" ht="27.75" customHeight="1" x14ac:dyDescent="0.3">
      <c r="A60" s="151"/>
      <c r="B60" s="158" t="s">
        <v>444</v>
      </c>
      <c r="C60" s="142">
        <f>Yearbook!C5</f>
        <v>3715</v>
      </c>
      <c r="D60" s="143">
        <v>0</v>
      </c>
      <c r="E60" s="142">
        <v>0</v>
      </c>
      <c r="F60" s="142">
        <f>Yearbook!D5</f>
        <v>0</v>
      </c>
      <c r="G60" s="142">
        <f>Yearbook!E5</f>
        <v>3715</v>
      </c>
      <c r="H60" s="144">
        <f t="shared" si="0"/>
        <v>0</v>
      </c>
      <c r="I60" s="142">
        <f>Yearbook!G5</f>
        <v>0</v>
      </c>
      <c r="J60" s="142">
        <f>Yearbook!H5</f>
        <v>0</v>
      </c>
      <c r="K60" s="142">
        <f>Yearbook!I5</f>
        <v>0</v>
      </c>
      <c r="L60" s="144">
        <f t="shared" si="3"/>
        <v>0</v>
      </c>
      <c r="M60" s="145">
        <f t="shared" si="2"/>
        <v>0</v>
      </c>
      <c r="N60" s="28"/>
      <c r="O60" s="28"/>
      <c r="P60" s="28"/>
      <c r="Q60" s="28"/>
      <c r="R60" s="28"/>
      <c r="S60" s="28"/>
      <c r="T60" s="28"/>
      <c r="U60" s="28"/>
      <c r="V60" s="28"/>
      <c r="W60" s="28"/>
      <c r="X60" s="28"/>
      <c r="Y60" s="28"/>
      <c r="Z60" s="28"/>
    </row>
    <row r="61" spans="1:26" ht="27.75" customHeight="1" x14ac:dyDescent="0.3">
      <c r="A61" s="151"/>
      <c r="B61" s="159" t="s">
        <v>88</v>
      </c>
      <c r="C61" s="142">
        <f>Merchandise!C5</f>
        <v>0</v>
      </c>
      <c r="D61" s="160">
        <f>Merchandise!D5</f>
        <v>0</v>
      </c>
      <c r="E61" s="146">
        <f>Merchandise!E5</f>
        <v>0</v>
      </c>
      <c r="F61" s="142">
        <f>Merchandise!F5</f>
        <v>0</v>
      </c>
      <c r="G61" s="142">
        <f>Merchandise!G5</f>
        <v>0</v>
      </c>
      <c r="H61" s="144">
        <f t="shared" si="0"/>
        <v>0</v>
      </c>
      <c r="I61" s="142">
        <f>Merchandise!I5</f>
        <v>0</v>
      </c>
      <c r="J61" s="142">
        <f>Merchandise!J5</f>
        <v>0</v>
      </c>
      <c r="K61" s="142">
        <f>Merchandise!K5</f>
        <v>0</v>
      </c>
      <c r="L61" s="144">
        <f t="shared" si="3"/>
        <v>0</v>
      </c>
      <c r="M61" s="145">
        <f t="shared" si="2"/>
        <v>0</v>
      </c>
      <c r="N61" s="28"/>
      <c r="O61" s="28"/>
      <c r="P61" s="28"/>
      <c r="Q61" s="28"/>
      <c r="R61" s="28"/>
      <c r="S61" s="28"/>
      <c r="T61" s="28"/>
      <c r="U61" s="28"/>
      <c r="V61" s="28"/>
      <c r="W61" s="28"/>
      <c r="X61" s="28"/>
      <c r="Y61" s="28"/>
      <c r="Z61" s="28"/>
    </row>
    <row r="62" spans="1:26" ht="27.75" customHeight="1" x14ac:dyDescent="0.3">
      <c r="A62" s="151"/>
      <c r="B62" s="161" t="s">
        <v>445</v>
      </c>
      <c r="C62" s="142">
        <f>'Memberships 25_26'!C5</f>
        <v>0</v>
      </c>
      <c r="D62" s="160">
        <v>0</v>
      </c>
      <c r="E62" s="146">
        <v>0</v>
      </c>
      <c r="F62" s="142">
        <f>'Memberships 25_26'!D5</f>
        <v>11824.16</v>
      </c>
      <c r="G62" s="150">
        <f>'Memberships 25_26'!E5</f>
        <v>0</v>
      </c>
      <c r="H62" s="144">
        <f t="shared" si="0"/>
        <v>11824.16</v>
      </c>
      <c r="I62" s="150">
        <f>'Memberships 25_26'!G5</f>
        <v>0</v>
      </c>
      <c r="J62" s="150">
        <v>0</v>
      </c>
      <c r="K62" s="150">
        <f>'Memberships 25_26'!I5</f>
        <v>0</v>
      </c>
      <c r="L62" s="144">
        <f t="shared" si="3"/>
        <v>0</v>
      </c>
      <c r="M62" s="145">
        <f t="shared" si="2"/>
        <v>-11824.16</v>
      </c>
      <c r="N62" s="28"/>
      <c r="O62" s="28"/>
      <c r="P62" s="28"/>
      <c r="Q62" s="28"/>
      <c r="R62" s="28"/>
      <c r="S62" s="28"/>
      <c r="T62" s="28"/>
      <c r="U62" s="28"/>
      <c r="V62" s="28"/>
      <c r="W62" s="28"/>
      <c r="X62" s="28"/>
      <c r="Y62" s="28"/>
      <c r="Z62" s="28"/>
    </row>
    <row r="63" spans="1:26" ht="27.75" customHeight="1" x14ac:dyDescent="0.3">
      <c r="A63" s="151"/>
      <c r="B63" s="162" t="s">
        <v>446</v>
      </c>
      <c r="C63" s="142">
        <f>'AIM Club'!C10</f>
        <v>390</v>
      </c>
      <c r="D63" s="142">
        <f>'AIM Club'!D10</f>
        <v>0</v>
      </c>
      <c r="E63" s="142">
        <f>'AIM Club'!E10</f>
        <v>0</v>
      </c>
      <c r="F63" s="142">
        <f>'AIM Club'!F10</f>
        <v>0</v>
      </c>
      <c r="G63" s="142">
        <f>'AIM Club'!G10</f>
        <v>240</v>
      </c>
      <c r="H63" s="144">
        <f t="shared" si="0"/>
        <v>-150</v>
      </c>
      <c r="I63" s="142">
        <f>'AIM Club'!I9</f>
        <v>0</v>
      </c>
      <c r="J63" s="142">
        <f>'AIM Club'!J9</f>
        <v>0</v>
      </c>
      <c r="K63" s="142">
        <f>'AIM Club'!K9</f>
        <v>0</v>
      </c>
      <c r="L63" s="144">
        <f t="shared" si="3"/>
        <v>0</v>
      </c>
      <c r="M63" s="145">
        <f t="shared" si="2"/>
        <v>150</v>
      </c>
      <c r="N63" s="28"/>
      <c r="O63" s="28"/>
      <c r="P63" s="28"/>
      <c r="Q63" s="28"/>
      <c r="R63" s="28"/>
      <c r="S63" s="28"/>
      <c r="T63" s="28"/>
      <c r="U63" s="28"/>
      <c r="V63" s="28"/>
      <c r="W63" s="28"/>
      <c r="X63" s="28"/>
      <c r="Y63" s="28"/>
      <c r="Z63" s="28"/>
    </row>
    <row r="64" spans="1:26" ht="27.75" customHeight="1" x14ac:dyDescent="0.3">
      <c r="A64" s="151"/>
      <c r="B64" s="163" t="s">
        <v>447</v>
      </c>
      <c r="C64" s="142">
        <f>Board!C29</f>
        <v>9268</v>
      </c>
      <c r="D64" s="160">
        <v>0</v>
      </c>
      <c r="E64" s="146">
        <v>0</v>
      </c>
      <c r="F64" s="142">
        <f>Board!D29</f>
        <v>6036.48</v>
      </c>
      <c r="G64" s="142">
        <f>Board!E29</f>
        <v>3050</v>
      </c>
      <c r="H64" s="144">
        <f t="shared" si="0"/>
        <v>-181.52000000000044</v>
      </c>
      <c r="I64" s="142">
        <f>Board!G29</f>
        <v>-3052.8900000000003</v>
      </c>
      <c r="J64" s="142">
        <f>Board!H29</f>
        <v>1947.9</v>
      </c>
      <c r="K64" s="142">
        <f>Board!I29</f>
        <v>0</v>
      </c>
      <c r="L64" s="144">
        <f t="shared" si="3"/>
        <v>-1104.9900000000002</v>
      </c>
      <c r="M64" s="145">
        <f t="shared" si="2"/>
        <v>-923.4699999999998</v>
      </c>
      <c r="N64" s="28"/>
      <c r="O64" s="28"/>
      <c r="P64" s="28"/>
      <c r="Q64" s="28"/>
      <c r="R64" s="28"/>
      <c r="S64" s="28"/>
      <c r="T64" s="28"/>
      <c r="U64" s="28"/>
      <c r="V64" s="28"/>
      <c r="W64" s="28"/>
      <c r="X64" s="28"/>
      <c r="Y64" s="28"/>
      <c r="Z64" s="28"/>
    </row>
    <row r="65" spans="1:26" ht="27.75" customHeight="1" x14ac:dyDescent="0.3">
      <c r="A65" s="151"/>
      <c r="B65" s="163" t="s">
        <v>448</v>
      </c>
      <c r="C65" s="142">
        <f>Board!C41</f>
        <v>7025</v>
      </c>
      <c r="D65" s="160">
        <v>0</v>
      </c>
      <c r="E65" s="146">
        <v>0</v>
      </c>
      <c r="F65" s="142">
        <f>Board!D41</f>
        <v>0</v>
      </c>
      <c r="G65" s="142">
        <f>Board!E41</f>
        <v>5800</v>
      </c>
      <c r="H65" s="144">
        <f t="shared" si="0"/>
        <v>-1225</v>
      </c>
      <c r="I65" s="142">
        <f>Board!G41</f>
        <v>-1839.69</v>
      </c>
      <c r="J65" s="142">
        <f>Board!H41</f>
        <v>251.4</v>
      </c>
      <c r="K65" s="142">
        <f>Board!I41</f>
        <v>0</v>
      </c>
      <c r="L65" s="144">
        <f t="shared" si="3"/>
        <v>-1588.29</v>
      </c>
      <c r="M65" s="145">
        <f t="shared" si="2"/>
        <v>-363.28999999999996</v>
      </c>
      <c r="N65" s="28"/>
      <c r="O65" s="28"/>
      <c r="P65" s="28"/>
      <c r="Q65" s="28"/>
      <c r="R65" s="28"/>
      <c r="S65" s="28"/>
      <c r="T65" s="28"/>
      <c r="U65" s="28"/>
      <c r="V65" s="28"/>
      <c r="W65" s="28"/>
      <c r="X65" s="28"/>
      <c r="Y65" s="28"/>
      <c r="Z65" s="28"/>
    </row>
    <row r="66" spans="1:26" ht="27.75" customHeight="1" x14ac:dyDescent="0.3">
      <c r="A66" s="28"/>
      <c r="B66" s="164" t="s">
        <v>449</v>
      </c>
      <c r="C66" s="142">
        <f>'Board-Organized Events'!C52</f>
        <v>7200</v>
      </c>
      <c r="D66" s="142">
        <v>0</v>
      </c>
      <c r="E66" s="142">
        <v>0</v>
      </c>
      <c r="F66" s="142">
        <f>'Board-Organized Events'!F52</f>
        <v>6485</v>
      </c>
      <c r="G66" s="142">
        <f>'Board-Organized Events'!G52</f>
        <v>0</v>
      </c>
      <c r="H66" s="144">
        <f t="shared" si="0"/>
        <v>-715</v>
      </c>
      <c r="I66" s="142">
        <f>'Board-Organized Events'!I52</f>
        <v>-228</v>
      </c>
      <c r="J66" s="142">
        <f>'Board-Organized Events'!J52</f>
        <v>76.169999999999987</v>
      </c>
      <c r="K66" s="142">
        <f>'Board-Organized Events'!K52</f>
        <v>0</v>
      </c>
      <c r="L66" s="144">
        <f t="shared" si="3"/>
        <v>-151.83000000000001</v>
      </c>
      <c r="M66" s="145">
        <f t="shared" si="2"/>
        <v>563.16999999999996</v>
      </c>
      <c r="N66" s="28"/>
      <c r="O66" s="28"/>
      <c r="P66" s="28"/>
      <c r="Q66" s="28"/>
      <c r="R66" s="28"/>
      <c r="S66" s="28"/>
      <c r="T66" s="28"/>
      <c r="U66" s="28"/>
      <c r="V66" s="28"/>
      <c r="W66" s="28"/>
      <c r="X66" s="28"/>
      <c r="Y66" s="28"/>
      <c r="Z66" s="28"/>
    </row>
    <row r="67" spans="1:26" ht="27.75" customHeight="1" x14ac:dyDescent="0.35">
      <c r="A67" s="165"/>
      <c r="B67" s="166" t="s">
        <v>450</v>
      </c>
      <c r="C67" s="167">
        <f>SUMIF(A3:A66, "&lt;&gt;Cancelled", C3:C66)</f>
        <v>120779.81</v>
      </c>
      <c r="D67" s="168">
        <f t="shared" ref="D67:E67" si="4">SUM(D3:D66)</f>
        <v>3283</v>
      </c>
      <c r="E67" s="167">
        <f t="shared" si="4"/>
        <v>0</v>
      </c>
      <c r="F67" s="167">
        <f>SUMIF(A3:A66, "&lt;&gt;Cancelled",F3:F66)</f>
        <v>76174.81</v>
      </c>
      <c r="G67" s="167">
        <f>SUM(G3:G66)</f>
        <v>44605</v>
      </c>
      <c r="H67" s="169">
        <f>SUMIF(A3:A66, "&lt;&gt;Cancelled",H3:H66)</f>
        <v>0</v>
      </c>
      <c r="I67" s="167">
        <f>SUMIF(G3:G66, "&lt;&gt;Cancelled",I3:I66)</f>
        <v>-14352.19</v>
      </c>
      <c r="J67" s="167">
        <f>SUMIF(G3:G66, "&lt;&gt;Cancelled",J3:J66)</f>
        <v>5578.8400000000011</v>
      </c>
      <c r="K67" s="170">
        <f>SUMIF(G3:G66, "&lt;&gt;Cancelled",K3:K66)</f>
        <v>0</v>
      </c>
      <c r="L67" s="169">
        <f t="shared" ref="L67:M67" si="5">SUM(L3:L66)</f>
        <v>-8773.3499999999967</v>
      </c>
      <c r="M67" s="171">
        <f t="shared" si="5"/>
        <v>-8773.3499999999967</v>
      </c>
      <c r="N67" s="165"/>
      <c r="O67" s="165"/>
      <c r="P67" s="165"/>
      <c r="Q67" s="165"/>
      <c r="R67" s="165"/>
      <c r="S67" s="165"/>
      <c r="T67" s="165"/>
      <c r="U67" s="165"/>
      <c r="V67" s="165"/>
      <c r="W67" s="165"/>
      <c r="X67" s="165"/>
      <c r="Y67" s="165"/>
      <c r="Z67" s="165"/>
    </row>
    <row r="68" spans="1:26" ht="27.75" customHeight="1" x14ac:dyDescent="0.3">
      <c r="A68" s="28"/>
      <c r="B68" s="28"/>
      <c r="C68" s="150"/>
      <c r="D68" s="150"/>
      <c r="E68" s="150"/>
      <c r="F68" s="150"/>
      <c r="G68" s="150"/>
      <c r="H68" s="172">
        <f>F67+G67-C67</f>
        <v>0</v>
      </c>
      <c r="I68" s="28"/>
      <c r="J68" s="28"/>
      <c r="K68" s="172"/>
      <c r="L68" s="173">
        <f>I67+J67+K67</f>
        <v>-8773.3499999999985</v>
      </c>
      <c r="M68" s="28"/>
      <c r="N68" s="28"/>
      <c r="O68" s="28"/>
      <c r="P68" s="28"/>
      <c r="Q68" s="28"/>
      <c r="R68" s="28"/>
      <c r="S68" s="28"/>
      <c r="T68" s="28"/>
      <c r="U68" s="28"/>
      <c r="V68" s="28"/>
      <c r="W68" s="28"/>
      <c r="X68" s="28"/>
      <c r="Y68" s="28"/>
      <c r="Z68" s="28"/>
    </row>
    <row r="69" spans="1:26" ht="27.75" customHeight="1" x14ac:dyDescent="0.3">
      <c r="A69" s="28"/>
      <c r="B69" s="28"/>
      <c r="C69" s="174"/>
      <c r="D69" s="174"/>
      <c r="E69" s="174"/>
      <c r="F69" s="28"/>
      <c r="G69" s="175"/>
      <c r="H69" s="28"/>
      <c r="I69" s="28"/>
      <c r="J69" s="28"/>
      <c r="K69" s="28"/>
      <c r="L69" s="28"/>
      <c r="M69" s="175"/>
      <c r="N69" s="28"/>
      <c r="O69" s="28"/>
      <c r="P69" s="28"/>
      <c r="Q69" s="28"/>
      <c r="R69" s="28"/>
      <c r="S69" s="28"/>
      <c r="T69" s="28"/>
      <c r="U69" s="28"/>
      <c r="V69" s="28"/>
      <c r="W69" s="28"/>
      <c r="X69" s="28"/>
      <c r="Y69" s="28"/>
      <c r="Z69" s="28"/>
    </row>
    <row r="70" spans="1:26" ht="27.75" customHeight="1" x14ac:dyDescent="0.3">
      <c r="A70" s="28"/>
      <c r="B70" s="176"/>
      <c r="C70" s="177"/>
      <c r="D70" s="28"/>
      <c r="E70" s="178"/>
      <c r="F70" s="28"/>
      <c r="G70" s="179"/>
      <c r="H70" s="175"/>
      <c r="I70" s="28"/>
      <c r="J70" s="150"/>
      <c r="K70" s="175" t="s">
        <v>451</v>
      </c>
      <c r="L70" s="180">
        <f xml:space="preserve"> 'Cashbook ING'!C113</f>
        <v>12333.88</v>
      </c>
      <c r="M70" s="175"/>
      <c r="N70" s="175"/>
      <c r="O70" s="28"/>
      <c r="P70" s="28"/>
      <c r="Q70" s="28"/>
      <c r="R70" s="28"/>
      <c r="S70" s="28"/>
      <c r="T70" s="28"/>
      <c r="U70" s="28"/>
      <c r="V70" s="28"/>
      <c r="W70" s="28"/>
      <c r="X70" s="28"/>
      <c r="Y70" s="28"/>
      <c r="Z70" s="28"/>
    </row>
    <row r="71" spans="1:26" ht="27.75" customHeight="1" x14ac:dyDescent="0.3">
      <c r="A71" s="28"/>
      <c r="B71" s="176"/>
      <c r="C71" s="28"/>
      <c r="D71" s="28"/>
      <c r="E71" s="178"/>
      <c r="F71" s="28"/>
      <c r="G71" s="179"/>
      <c r="H71" s="175"/>
      <c r="I71" s="175"/>
      <c r="J71" s="150"/>
      <c r="K71" s="175" t="s">
        <v>385</v>
      </c>
      <c r="L71" s="181">
        <f>K67</f>
        <v>0</v>
      </c>
      <c r="M71" s="175"/>
      <c r="N71" s="175"/>
      <c r="O71" s="28"/>
      <c r="P71" s="28"/>
      <c r="Q71" s="28"/>
      <c r="R71" s="28"/>
      <c r="S71" s="28"/>
      <c r="T71" s="28"/>
      <c r="U71" s="28"/>
      <c r="V71" s="28"/>
      <c r="W71" s="28"/>
      <c r="X71" s="28"/>
      <c r="Y71" s="28"/>
      <c r="Z71" s="28"/>
    </row>
    <row r="72" spans="1:26" ht="27.75" customHeight="1" x14ac:dyDescent="0.3">
      <c r="A72" s="28"/>
      <c r="B72" s="176"/>
      <c r="C72" s="28"/>
      <c r="D72" s="28"/>
      <c r="E72" s="178"/>
      <c r="F72" s="28"/>
      <c r="G72" s="179"/>
      <c r="H72" s="175"/>
      <c r="I72" s="150"/>
      <c r="K72" s="175" t="s">
        <v>452</v>
      </c>
      <c r="L72" s="181">
        <f>SUM(L70:L71)</f>
        <v>12333.88</v>
      </c>
      <c r="M72" s="175"/>
      <c r="N72" s="175"/>
      <c r="O72" s="28"/>
      <c r="P72" s="28"/>
      <c r="Q72" s="28"/>
      <c r="R72" s="28"/>
      <c r="S72" s="28"/>
      <c r="T72" s="28"/>
      <c r="U72" s="28"/>
      <c r="V72" s="28"/>
      <c r="W72" s="28"/>
      <c r="X72" s="28"/>
      <c r="Y72" s="28"/>
      <c r="Z72" s="28"/>
    </row>
    <row r="73" spans="1:26" ht="27.75" customHeight="1" x14ac:dyDescent="0.3">
      <c r="A73" s="28"/>
      <c r="B73" s="28"/>
      <c r="C73" s="28"/>
      <c r="D73" s="28"/>
      <c r="E73" s="28"/>
      <c r="F73" s="28"/>
      <c r="G73" s="28"/>
      <c r="H73" s="28"/>
      <c r="I73" s="28"/>
      <c r="J73" s="28"/>
      <c r="K73" s="28" t="s">
        <v>453</v>
      </c>
      <c r="L73" s="175">
        <f>L72-L67-M67</f>
        <v>29880.579999999994</v>
      </c>
      <c r="M73" s="175"/>
      <c r="N73" s="175"/>
      <c r="O73" s="28"/>
      <c r="P73" s="28"/>
      <c r="Q73" s="28"/>
      <c r="R73" s="28"/>
      <c r="S73" s="28"/>
      <c r="T73" s="28"/>
      <c r="U73" s="28"/>
      <c r="V73" s="28"/>
      <c r="W73" s="28"/>
      <c r="X73" s="28"/>
      <c r="Y73" s="28"/>
      <c r="Z73" s="28"/>
    </row>
    <row r="74" spans="1:26" ht="27.75" customHeight="1" x14ac:dyDescent="0.3">
      <c r="A74" s="28"/>
      <c r="B74" s="28"/>
      <c r="C74" s="28"/>
      <c r="D74" s="28"/>
      <c r="E74" s="28"/>
      <c r="F74" s="28"/>
      <c r="G74" s="28"/>
      <c r="H74" s="28"/>
      <c r="I74" s="28"/>
      <c r="J74" s="28"/>
      <c r="K74" s="175"/>
      <c r="L74" s="175"/>
      <c r="M74" s="28"/>
      <c r="N74" s="175"/>
      <c r="O74" s="28"/>
      <c r="P74" s="28"/>
      <c r="Q74" s="28"/>
      <c r="R74" s="28"/>
      <c r="S74" s="28"/>
      <c r="T74" s="28"/>
      <c r="U74" s="28"/>
      <c r="V74" s="28"/>
      <c r="W74" s="28"/>
      <c r="X74" s="28"/>
      <c r="Y74" s="28"/>
      <c r="Z74" s="28"/>
    </row>
    <row r="75" spans="1:26" ht="27.75" customHeight="1" x14ac:dyDescent="0.3">
      <c r="A75" s="28"/>
      <c r="B75" s="28"/>
      <c r="C75" s="28"/>
      <c r="D75" s="28"/>
      <c r="E75" s="28"/>
      <c r="F75" s="28"/>
      <c r="G75" s="28"/>
      <c r="H75" s="28" t="s">
        <v>454</v>
      </c>
      <c r="I75" s="28"/>
      <c r="J75" s="28"/>
      <c r="K75" s="175"/>
      <c r="L75" s="175"/>
      <c r="M75" s="182"/>
      <c r="N75" s="175"/>
      <c r="O75" s="28"/>
      <c r="P75" s="28"/>
      <c r="Q75" s="28"/>
      <c r="R75" s="28"/>
      <c r="S75" s="28"/>
      <c r="T75" s="28"/>
      <c r="U75" s="28"/>
      <c r="V75" s="28"/>
      <c r="W75" s="28"/>
      <c r="X75" s="28"/>
      <c r="Y75" s="28"/>
      <c r="Z75" s="28"/>
    </row>
    <row r="76" spans="1:26" ht="27.75" customHeight="1" x14ac:dyDescent="0.3">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27.75" customHeight="1" x14ac:dyDescent="0.3">
      <c r="A77" s="28"/>
      <c r="B77" s="28"/>
      <c r="C77" s="28"/>
      <c r="D77" s="28"/>
      <c r="E77" s="28"/>
      <c r="F77" s="28"/>
      <c r="G77" s="28"/>
      <c r="H77" s="28"/>
      <c r="I77" s="28"/>
      <c r="J77" s="28"/>
      <c r="K77" s="28"/>
      <c r="L77" s="175"/>
      <c r="M77" s="175"/>
      <c r="N77" s="175"/>
      <c r="O77" s="28"/>
      <c r="P77" s="28"/>
      <c r="Q77" s="28"/>
      <c r="R77" s="28"/>
      <c r="S77" s="28"/>
      <c r="T77" s="28"/>
      <c r="U77" s="28"/>
      <c r="V77" s="28"/>
      <c r="W77" s="28"/>
      <c r="X77" s="28"/>
      <c r="Y77" s="28"/>
      <c r="Z77" s="28"/>
    </row>
    <row r="78" spans="1:26" ht="27.75" customHeight="1" x14ac:dyDescent="0.3">
      <c r="A78" s="28"/>
      <c r="B78" s="28"/>
      <c r="C78" s="28"/>
      <c r="D78" s="28"/>
      <c r="E78" s="28"/>
      <c r="F78" s="28"/>
      <c r="G78" s="28"/>
      <c r="H78" s="28"/>
      <c r="I78" s="28"/>
      <c r="J78" s="28"/>
      <c r="K78" s="175"/>
      <c r="L78" s="28"/>
      <c r="M78" s="182"/>
      <c r="N78" s="28"/>
      <c r="O78" s="28"/>
      <c r="P78" s="28"/>
      <c r="Q78" s="28"/>
      <c r="R78" s="28"/>
      <c r="S78" s="28"/>
      <c r="T78" s="28"/>
      <c r="U78" s="28"/>
      <c r="V78" s="28"/>
      <c r="W78" s="28"/>
      <c r="X78" s="28"/>
      <c r="Y78" s="28"/>
      <c r="Z78" s="28"/>
    </row>
    <row r="79" spans="1:26" ht="27.75" customHeight="1" x14ac:dyDescent="0.3">
      <c r="A79" s="28"/>
      <c r="B79" s="28"/>
      <c r="C79" s="28"/>
      <c r="D79" s="28"/>
      <c r="E79" s="28"/>
      <c r="F79" s="28"/>
      <c r="G79" s="28"/>
      <c r="H79" s="28"/>
      <c r="I79" s="28"/>
      <c r="J79" s="28"/>
      <c r="K79" s="28"/>
      <c r="L79" s="175"/>
      <c r="M79" s="175"/>
      <c r="N79" s="28"/>
      <c r="O79" s="28"/>
      <c r="P79" s="28"/>
      <c r="Q79" s="28"/>
      <c r="R79" s="28"/>
      <c r="S79" s="28"/>
      <c r="T79" s="28"/>
      <c r="U79" s="28"/>
      <c r="V79" s="28"/>
      <c r="W79" s="28"/>
      <c r="X79" s="28"/>
      <c r="Y79" s="28"/>
      <c r="Z79" s="28"/>
    </row>
    <row r="80" spans="1:26" ht="27.75" customHeight="1" x14ac:dyDescent="0.3">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27.75" customHeight="1" x14ac:dyDescent="0.3">
      <c r="A81" s="28"/>
      <c r="B81" s="28"/>
      <c r="C81" s="28"/>
      <c r="D81" s="28"/>
      <c r="E81" s="28"/>
      <c r="F81" s="28"/>
      <c r="G81" s="28"/>
      <c r="H81" s="28"/>
      <c r="I81" s="28"/>
      <c r="J81" s="28"/>
      <c r="K81" s="28"/>
      <c r="L81" s="175"/>
      <c r="M81" s="28"/>
      <c r="N81" s="28"/>
      <c r="O81" s="28"/>
      <c r="P81" s="28"/>
      <c r="Q81" s="28"/>
      <c r="R81" s="28"/>
      <c r="S81" s="28"/>
      <c r="T81" s="28"/>
      <c r="U81" s="28"/>
      <c r="V81" s="28"/>
      <c r="W81" s="28"/>
      <c r="X81" s="28"/>
      <c r="Y81" s="28"/>
      <c r="Z81" s="28"/>
    </row>
    <row r="82" spans="1:26" ht="27.75" customHeight="1" x14ac:dyDescent="0.3">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27.75" customHeight="1" x14ac:dyDescent="0.3">
      <c r="A83" s="28"/>
      <c r="B83" s="28"/>
      <c r="C83" s="28"/>
      <c r="D83" s="28"/>
      <c r="E83" s="28"/>
      <c r="F83" s="28"/>
      <c r="G83" s="28"/>
      <c r="H83" s="28"/>
      <c r="I83" s="28"/>
      <c r="J83" s="175"/>
      <c r="K83" s="28"/>
      <c r="L83" s="28"/>
      <c r="M83" s="28"/>
      <c r="N83" s="28"/>
      <c r="O83" s="28"/>
      <c r="P83" s="28"/>
      <c r="Q83" s="28"/>
      <c r="R83" s="28"/>
      <c r="S83" s="28"/>
      <c r="T83" s="28"/>
      <c r="U83" s="28"/>
      <c r="V83" s="28"/>
      <c r="W83" s="28"/>
      <c r="X83" s="28"/>
      <c r="Y83" s="28"/>
      <c r="Z83" s="28"/>
    </row>
    <row r="84" spans="1:26" ht="27.75" customHeight="1" x14ac:dyDescent="0.3">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27.75" customHeight="1" x14ac:dyDescent="0.3">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27.75" customHeight="1" x14ac:dyDescent="0.3">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27.75" customHeight="1" x14ac:dyDescent="0.3">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27.75" customHeight="1" x14ac:dyDescent="0.3">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27.75" customHeight="1" x14ac:dyDescent="0.3">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27.75" customHeight="1" x14ac:dyDescent="0.3">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27.75" customHeight="1" x14ac:dyDescent="0.3">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27.75" customHeight="1" x14ac:dyDescent="0.3">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27.75" customHeight="1" x14ac:dyDescent="0.3">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27.75" customHeight="1" x14ac:dyDescent="0.3">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27.75" customHeight="1" x14ac:dyDescent="0.3">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27.75" customHeight="1" x14ac:dyDescent="0.3">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27.75" customHeight="1" x14ac:dyDescent="0.3">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27.75" customHeight="1" x14ac:dyDescent="0.3">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27.75" customHeight="1" x14ac:dyDescent="0.3">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27.75" customHeight="1" x14ac:dyDescent="0.3">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27.75" customHeight="1" x14ac:dyDescent="0.3">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27.75" customHeight="1" x14ac:dyDescent="0.3">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27.75" customHeight="1" x14ac:dyDescent="0.3">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27.75" customHeight="1" x14ac:dyDescent="0.3">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27.75" customHeight="1" x14ac:dyDescent="0.3">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27.75" customHeight="1" x14ac:dyDescent="0.3">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27.75" customHeight="1" x14ac:dyDescent="0.3">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27.75" customHeight="1" x14ac:dyDescent="0.3">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27.75" customHeight="1" x14ac:dyDescent="0.3">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27.75" customHeight="1" x14ac:dyDescent="0.3">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27.75" customHeight="1" x14ac:dyDescent="0.3">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27.75" customHeight="1" x14ac:dyDescent="0.3">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27.75" customHeight="1" x14ac:dyDescent="0.3">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27.75" customHeight="1" x14ac:dyDescent="0.3">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27.75" customHeight="1" x14ac:dyDescent="0.3">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27.75" customHeight="1" x14ac:dyDescent="0.3">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27.75" customHeight="1" x14ac:dyDescent="0.3">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27.75" customHeight="1" x14ac:dyDescent="0.3">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27.75" customHeight="1" x14ac:dyDescent="0.3">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27.75" customHeight="1" x14ac:dyDescent="0.3">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27.75" customHeight="1" x14ac:dyDescent="0.3">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27.75" customHeight="1" x14ac:dyDescent="0.3">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27.75" customHeight="1" x14ac:dyDescent="0.3">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27.75" customHeight="1" x14ac:dyDescent="0.3">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27.75" customHeight="1" x14ac:dyDescent="0.3">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27.75" customHeight="1" x14ac:dyDescent="0.3">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27.75" customHeight="1" x14ac:dyDescent="0.3">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27.75" customHeight="1" x14ac:dyDescent="0.3">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27.75" customHeight="1" x14ac:dyDescent="0.3">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27.75" customHeight="1" x14ac:dyDescent="0.3">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27.75" customHeight="1" x14ac:dyDescent="0.3">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27.75" customHeight="1" x14ac:dyDescent="0.3">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27.75" customHeight="1" x14ac:dyDescent="0.3">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27.75" customHeight="1" x14ac:dyDescent="0.3">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27.75" customHeight="1" x14ac:dyDescent="0.3">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27.75" customHeight="1" x14ac:dyDescent="0.3">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27.75" customHeight="1" x14ac:dyDescent="0.3">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27.75" customHeight="1" x14ac:dyDescent="0.3">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27.75" customHeight="1" x14ac:dyDescent="0.3">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27.75" customHeight="1" x14ac:dyDescent="0.3">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27.75" customHeight="1" x14ac:dyDescent="0.3">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27.75" customHeight="1" x14ac:dyDescent="0.3">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27.75" customHeight="1" x14ac:dyDescent="0.3">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27.75" customHeight="1" x14ac:dyDescent="0.3">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27.75" customHeight="1" x14ac:dyDescent="0.3">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27.75" customHeight="1" x14ac:dyDescent="0.3">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27.75" customHeight="1" x14ac:dyDescent="0.3">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27.75" customHeight="1" x14ac:dyDescent="0.3">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27.75" customHeight="1" x14ac:dyDescent="0.3">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27.75" customHeight="1" x14ac:dyDescent="0.3">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27.75" customHeight="1" x14ac:dyDescent="0.3">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27.75" customHeight="1" x14ac:dyDescent="0.3">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27.75" customHeight="1" x14ac:dyDescent="0.3">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27.75" customHeight="1" x14ac:dyDescent="0.3">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27.75" customHeight="1" x14ac:dyDescent="0.3">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27.75" customHeight="1" x14ac:dyDescent="0.3">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27.75" customHeight="1" x14ac:dyDescent="0.3">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27.75" customHeight="1" x14ac:dyDescent="0.3">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27.75" customHeight="1" x14ac:dyDescent="0.3">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27.75" customHeight="1" x14ac:dyDescent="0.3">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27.75" customHeight="1" x14ac:dyDescent="0.3">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27.75" customHeight="1" x14ac:dyDescent="0.3">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27.75" customHeight="1" x14ac:dyDescent="0.3">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27.75" customHeight="1" x14ac:dyDescent="0.3">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27.75" customHeight="1" x14ac:dyDescent="0.3">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27.75" customHeight="1" x14ac:dyDescent="0.3">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27.75" customHeight="1" x14ac:dyDescent="0.3">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27.75" customHeight="1" x14ac:dyDescent="0.3">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27.75" customHeight="1" x14ac:dyDescent="0.3">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27.75" customHeight="1" x14ac:dyDescent="0.3">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27.75" customHeight="1" x14ac:dyDescent="0.3">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27.75" customHeight="1" x14ac:dyDescent="0.3">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27.75" customHeight="1" x14ac:dyDescent="0.3">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27.75" customHeight="1" x14ac:dyDescent="0.3">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27.75" customHeight="1" x14ac:dyDescent="0.3">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27.75" customHeight="1" x14ac:dyDescent="0.3">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27.75" customHeight="1" x14ac:dyDescent="0.3">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27.75" customHeight="1" x14ac:dyDescent="0.3">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27.75" customHeight="1" x14ac:dyDescent="0.3">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27.75" customHeight="1" x14ac:dyDescent="0.3">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27.75" customHeight="1" x14ac:dyDescent="0.3">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27.75" customHeight="1" x14ac:dyDescent="0.3">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27.75" customHeight="1" x14ac:dyDescent="0.3">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27.75" customHeight="1" x14ac:dyDescent="0.3">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27.75" customHeight="1" x14ac:dyDescent="0.3">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27.75" customHeight="1" x14ac:dyDescent="0.3">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27.75" customHeight="1" x14ac:dyDescent="0.3">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27.75" customHeight="1" x14ac:dyDescent="0.3">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27.75" customHeight="1" x14ac:dyDescent="0.3">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27.75" customHeight="1" x14ac:dyDescent="0.3">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27.75" customHeight="1" x14ac:dyDescent="0.3">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27.75" customHeight="1" x14ac:dyDescent="0.3">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27.75" customHeight="1" x14ac:dyDescent="0.3">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27.75" customHeight="1" x14ac:dyDescent="0.3">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27.75" customHeight="1" x14ac:dyDescent="0.3">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27.75" customHeight="1" x14ac:dyDescent="0.3">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27.75" customHeight="1" x14ac:dyDescent="0.3">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27.75" customHeight="1" x14ac:dyDescent="0.3">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27.75" customHeight="1" x14ac:dyDescent="0.3">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27.75" customHeight="1" x14ac:dyDescent="0.3">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27.75" customHeight="1" x14ac:dyDescent="0.3">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27.75" customHeight="1" x14ac:dyDescent="0.3">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27.75" customHeight="1" x14ac:dyDescent="0.3">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27.75" customHeight="1" x14ac:dyDescent="0.3">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27.75" customHeight="1" x14ac:dyDescent="0.3">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27.75" customHeight="1" x14ac:dyDescent="0.3">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27.75" customHeight="1" x14ac:dyDescent="0.3">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27.75" customHeight="1" x14ac:dyDescent="0.3">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27.75" customHeight="1" x14ac:dyDescent="0.3">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27.75" customHeight="1" x14ac:dyDescent="0.3">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27.75" customHeight="1" x14ac:dyDescent="0.3">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27.75" customHeight="1" x14ac:dyDescent="0.3">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27.75" customHeight="1" x14ac:dyDescent="0.3">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27.75" customHeight="1" x14ac:dyDescent="0.3">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27.75" customHeight="1" x14ac:dyDescent="0.3">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27.75" customHeight="1" x14ac:dyDescent="0.3">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27.75" customHeight="1" x14ac:dyDescent="0.3">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27.75" customHeight="1" x14ac:dyDescent="0.3">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27.75" customHeight="1" x14ac:dyDescent="0.3">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27.75" customHeight="1" x14ac:dyDescent="0.3">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27.75" customHeight="1" x14ac:dyDescent="0.3">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27.75" customHeight="1" x14ac:dyDescent="0.3">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27.75" customHeight="1" x14ac:dyDescent="0.3">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27.75" customHeight="1" x14ac:dyDescent="0.3">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27.75" customHeight="1" x14ac:dyDescent="0.3">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27.75" customHeight="1" x14ac:dyDescent="0.3">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27.75" customHeight="1" x14ac:dyDescent="0.3">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27.75" customHeight="1" x14ac:dyDescent="0.3">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27.75" customHeight="1" x14ac:dyDescent="0.3">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27.75" customHeight="1" x14ac:dyDescent="0.3">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27.75" customHeight="1" x14ac:dyDescent="0.3">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27.75" customHeight="1" x14ac:dyDescent="0.3">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27.75" customHeight="1" x14ac:dyDescent="0.3">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27.75" customHeight="1" x14ac:dyDescent="0.3">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27.75" customHeight="1" x14ac:dyDescent="0.3">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27.75" customHeight="1" x14ac:dyDescent="0.3">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27.75" customHeight="1" x14ac:dyDescent="0.3">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27.75" customHeight="1" x14ac:dyDescent="0.3">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27.75" customHeight="1" x14ac:dyDescent="0.3">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27.75" customHeight="1" x14ac:dyDescent="0.3">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27.75" customHeight="1" x14ac:dyDescent="0.3">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27.75" customHeight="1" x14ac:dyDescent="0.3">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27.75" customHeight="1" x14ac:dyDescent="0.3">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27.75" customHeight="1" x14ac:dyDescent="0.3">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27.75" customHeight="1" x14ac:dyDescent="0.3">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27.75" customHeight="1" x14ac:dyDescent="0.3">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27.75" customHeight="1" x14ac:dyDescent="0.3">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27.75" customHeight="1" x14ac:dyDescent="0.3">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27.75" customHeight="1" x14ac:dyDescent="0.3">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27.75" customHeight="1" x14ac:dyDescent="0.3">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27.75" customHeight="1" x14ac:dyDescent="0.3">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27.75" customHeight="1" x14ac:dyDescent="0.3">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27.75" customHeight="1" x14ac:dyDescent="0.3">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27.75" customHeight="1" x14ac:dyDescent="0.3">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27.75" customHeight="1" x14ac:dyDescent="0.3">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27.75" customHeight="1" x14ac:dyDescent="0.3">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27.75" customHeight="1" x14ac:dyDescent="0.3">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27.75" customHeight="1" x14ac:dyDescent="0.3">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27.75" customHeight="1" x14ac:dyDescent="0.3">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27.75" customHeight="1" x14ac:dyDescent="0.3">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27.75" customHeight="1" x14ac:dyDescent="0.3">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27.75" customHeight="1" x14ac:dyDescent="0.3">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27.75" customHeight="1" x14ac:dyDescent="0.3">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27.75" customHeight="1" x14ac:dyDescent="0.3">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27.75" customHeight="1" x14ac:dyDescent="0.3">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27.75" customHeight="1" x14ac:dyDescent="0.3">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27.75" customHeight="1" x14ac:dyDescent="0.3">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27.75" customHeight="1" x14ac:dyDescent="0.3">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27.75" customHeight="1" x14ac:dyDescent="0.3">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27.75" customHeight="1" x14ac:dyDescent="0.3">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27.75" customHeight="1" x14ac:dyDescent="0.3">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27.75" customHeight="1" x14ac:dyDescent="0.3">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27.75" customHeight="1" x14ac:dyDescent="0.3">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27.75" customHeight="1" x14ac:dyDescent="0.3">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27.75" customHeight="1" x14ac:dyDescent="0.3">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27.75" customHeight="1" x14ac:dyDescent="0.3">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27.75" customHeight="1" x14ac:dyDescent="0.3">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27.75" customHeight="1" x14ac:dyDescent="0.3">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27.75" customHeight="1" x14ac:dyDescent="0.3">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27.75" customHeight="1" x14ac:dyDescent="0.3">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27.75" customHeight="1" x14ac:dyDescent="0.3">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27.75" customHeight="1" x14ac:dyDescent="0.3">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27.75" customHeight="1" x14ac:dyDescent="0.3">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27.75" customHeight="1" x14ac:dyDescent="0.3">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27.75" customHeight="1" x14ac:dyDescent="0.3">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27.75" customHeight="1" x14ac:dyDescent="0.3">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27.75" customHeight="1" x14ac:dyDescent="0.3">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27.75" customHeight="1" x14ac:dyDescent="0.3">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27.75" customHeight="1" x14ac:dyDescent="0.3">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27.75" customHeight="1" x14ac:dyDescent="0.3">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27.75" customHeight="1" x14ac:dyDescent="0.3">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27.75" customHeight="1" x14ac:dyDescent="0.3">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27.75" customHeight="1" x14ac:dyDescent="0.3">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27.75" customHeight="1" x14ac:dyDescent="0.3">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27.75" customHeight="1" x14ac:dyDescent="0.3">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27.75" customHeight="1" x14ac:dyDescent="0.3">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27.75" customHeight="1" x14ac:dyDescent="0.3">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27.75" customHeight="1" x14ac:dyDescent="0.3">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27.75" customHeight="1" x14ac:dyDescent="0.3">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27.75" customHeight="1" x14ac:dyDescent="0.3">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27.75" customHeight="1" x14ac:dyDescent="0.3">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27.75" customHeight="1" x14ac:dyDescent="0.3">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27.75" customHeight="1" x14ac:dyDescent="0.3">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27.75" customHeight="1" x14ac:dyDescent="0.3">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27.75" customHeight="1" x14ac:dyDescent="0.3">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27.75" customHeight="1" x14ac:dyDescent="0.3">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27.75" customHeight="1" x14ac:dyDescent="0.3">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27.75" customHeight="1" x14ac:dyDescent="0.3">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27.75" customHeight="1" x14ac:dyDescent="0.3">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27.75" customHeight="1" x14ac:dyDescent="0.3">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27.75" customHeight="1" x14ac:dyDescent="0.3">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27.75" customHeight="1" x14ac:dyDescent="0.3">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27.75" customHeight="1" x14ac:dyDescent="0.3">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27.75" customHeight="1" x14ac:dyDescent="0.3">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27.75" customHeight="1" x14ac:dyDescent="0.3">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27.75" customHeight="1" x14ac:dyDescent="0.3">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27.75" customHeight="1" x14ac:dyDescent="0.3">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27.75" customHeight="1" x14ac:dyDescent="0.3">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27.75" customHeight="1" x14ac:dyDescent="0.3">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27.75" customHeight="1" x14ac:dyDescent="0.3">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27.75" customHeight="1" x14ac:dyDescent="0.3">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27.75" customHeight="1" x14ac:dyDescent="0.3">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27.75" customHeight="1" x14ac:dyDescent="0.3">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27.75" customHeight="1" x14ac:dyDescent="0.3">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27.75" customHeight="1" x14ac:dyDescent="0.3">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27.75" customHeight="1" x14ac:dyDescent="0.3">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27.75" customHeight="1" x14ac:dyDescent="0.3">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27.75" customHeight="1" x14ac:dyDescent="0.3">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27.75" customHeight="1" x14ac:dyDescent="0.3">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27.75" customHeight="1" x14ac:dyDescent="0.3">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27.75" customHeight="1" x14ac:dyDescent="0.3">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27.75" customHeight="1" x14ac:dyDescent="0.3">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27.75" customHeight="1" x14ac:dyDescent="0.3">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27.75" customHeight="1" x14ac:dyDescent="0.3">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27.75" customHeight="1" x14ac:dyDescent="0.3">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27.75" customHeight="1" x14ac:dyDescent="0.3">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27.75" customHeight="1" x14ac:dyDescent="0.3">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27.75" customHeight="1" x14ac:dyDescent="0.3">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27.75" customHeight="1" x14ac:dyDescent="0.3">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27.75" customHeight="1" x14ac:dyDescent="0.3">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27.75" customHeight="1" x14ac:dyDescent="0.3">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27.75" customHeight="1" x14ac:dyDescent="0.3">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27.75" customHeight="1" x14ac:dyDescent="0.3">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27.75" customHeight="1" x14ac:dyDescent="0.3">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27.75" customHeight="1" x14ac:dyDescent="0.3">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27.75" customHeight="1" x14ac:dyDescent="0.3">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27.75" customHeight="1" x14ac:dyDescent="0.3">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27.75" customHeight="1" x14ac:dyDescent="0.3">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27.75" customHeight="1" x14ac:dyDescent="0.3">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27.75" customHeight="1" x14ac:dyDescent="0.3">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27.75" customHeight="1" x14ac:dyDescent="0.3">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27.75" customHeight="1" x14ac:dyDescent="0.3">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27.75" customHeight="1" x14ac:dyDescent="0.3">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27.75" customHeight="1" x14ac:dyDescent="0.3">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27.75" customHeight="1" x14ac:dyDescent="0.3">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27.75" customHeight="1" x14ac:dyDescent="0.3">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27.75" customHeight="1" x14ac:dyDescent="0.3">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27.75" customHeight="1" x14ac:dyDescent="0.3">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27.75" customHeight="1" x14ac:dyDescent="0.3">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27.75" customHeight="1" x14ac:dyDescent="0.3">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27.75" customHeight="1" x14ac:dyDescent="0.3">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27.75" customHeight="1" x14ac:dyDescent="0.3">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27.75" customHeight="1" x14ac:dyDescent="0.3">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27.75" customHeight="1" x14ac:dyDescent="0.3">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27.75" customHeight="1" x14ac:dyDescent="0.3">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27.75" customHeight="1" x14ac:dyDescent="0.3">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27.75" customHeight="1" x14ac:dyDescent="0.3">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27.75" customHeight="1" x14ac:dyDescent="0.3">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27.75" customHeight="1" x14ac:dyDescent="0.3">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27.75" customHeight="1" x14ac:dyDescent="0.3">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27.75" customHeight="1" x14ac:dyDescent="0.3">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27.75" customHeight="1" x14ac:dyDescent="0.3">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27.75" customHeight="1" x14ac:dyDescent="0.3">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27.75" customHeight="1" x14ac:dyDescent="0.3">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27.75" customHeight="1" x14ac:dyDescent="0.3">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27.75" customHeight="1" x14ac:dyDescent="0.3">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27.75" customHeight="1" x14ac:dyDescent="0.3">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27.75" customHeight="1" x14ac:dyDescent="0.3">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27.75" customHeight="1" x14ac:dyDescent="0.3">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27.75" customHeight="1" x14ac:dyDescent="0.3">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27.75" customHeight="1" x14ac:dyDescent="0.3">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27.75" customHeight="1" x14ac:dyDescent="0.3">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27.75" customHeight="1" x14ac:dyDescent="0.3">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27.75" customHeight="1" x14ac:dyDescent="0.3">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27.75" customHeight="1" x14ac:dyDescent="0.3">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27.75" customHeight="1" x14ac:dyDescent="0.3">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27.75" customHeight="1" x14ac:dyDescent="0.3">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27.75" customHeight="1" x14ac:dyDescent="0.3">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27.75" customHeight="1" x14ac:dyDescent="0.3">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27.75" customHeight="1" x14ac:dyDescent="0.3">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27.75" customHeight="1" x14ac:dyDescent="0.3">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27.75" customHeight="1" x14ac:dyDescent="0.3">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27.75" customHeight="1" x14ac:dyDescent="0.3">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27.75" customHeight="1" x14ac:dyDescent="0.3">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27.75" customHeight="1" x14ac:dyDescent="0.3">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27.75" customHeight="1" x14ac:dyDescent="0.3">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27.75" customHeight="1" x14ac:dyDescent="0.3">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27.75" customHeight="1" x14ac:dyDescent="0.3">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27.75" customHeight="1" x14ac:dyDescent="0.3">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27.75" customHeight="1" x14ac:dyDescent="0.3">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27.75" customHeight="1" x14ac:dyDescent="0.3">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27.75" customHeight="1" x14ac:dyDescent="0.3">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27.75" customHeight="1" x14ac:dyDescent="0.3">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27.75" customHeight="1" x14ac:dyDescent="0.3">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27.75" customHeight="1" x14ac:dyDescent="0.3">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27.75" customHeight="1" x14ac:dyDescent="0.3">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27.75" customHeight="1" x14ac:dyDescent="0.3">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27.75" customHeight="1" x14ac:dyDescent="0.3">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27.75" customHeight="1" x14ac:dyDescent="0.3">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27.75" customHeight="1" x14ac:dyDescent="0.3">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27.75" customHeight="1" x14ac:dyDescent="0.3">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27.75" customHeight="1" x14ac:dyDescent="0.3">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27.75" customHeight="1" x14ac:dyDescent="0.3">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27.75" customHeight="1" x14ac:dyDescent="0.3">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27.75" customHeight="1" x14ac:dyDescent="0.3">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27.75" customHeight="1" x14ac:dyDescent="0.3">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27.75" customHeight="1" x14ac:dyDescent="0.3">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27.75" customHeight="1" x14ac:dyDescent="0.3">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27.75" customHeight="1" x14ac:dyDescent="0.3">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27.75" customHeight="1" x14ac:dyDescent="0.3">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27.75" customHeight="1" x14ac:dyDescent="0.3">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27.75" customHeight="1" x14ac:dyDescent="0.3">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27.75" customHeight="1" x14ac:dyDescent="0.3">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27.75" customHeight="1" x14ac:dyDescent="0.3">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27.75" customHeight="1" x14ac:dyDescent="0.3">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27.75" customHeight="1" x14ac:dyDescent="0.3">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27.75" customHeight="1" x14ac:dyDescent="0.3">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27.75" customHeight="1" x14ac:dyDescent="0.3">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27.75" customHeight="1" x14ac:dyDescent="0.3">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27.75" customHeight="1" x14ac:dyDescent="0.3">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27.75" customHeight="1" x14ac:dyDescent="0.3">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27.75" customHeight="1" x14ac:dyDescent="0.3">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27.75" customHeight="1" x14ac:dyDescent="0.3">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27.75" customHeight="1" x14ac:dyDescent="0.3">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27.75" customHeight="1" x14ac:dyDescent="0.3">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27.75" customHeight="1" x14ac:dyDescent="0.3">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27.75" customHeight="1" x14ac:dyDescent="0.3">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27.75" customHeight="1" x14ac:dyDescent="0.3">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27.75" customHeight="1" x14ac:dyDescent="0.3">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27.75" customHeight="1" x14ac:dyDescent="0.3">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27.75" customHeight="1" x14ac:dyDescent="0.3">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27.75" customHeight="1" x14ac:dyDescent="0.3">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27.75" customHeight="1" x14ac:dyDescent="0.3">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27.75" customHeight="1" x14ac:dyDescent="0.3">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27.75" customHeight="1" x14ac:dyDescent="0.3">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27.75" customHeight="1" x14ac:dyDescent="0.3">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27.75" customHeight="1" x14ac:dyDescent="0.3">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27.75" customHeight="1" x14ac:dyDescent="0.3">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27.75" customHeight="1" x14ac:dyDescent="0.3">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27.75" customHeight="1" x14ac:dyDescent="0.3">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27.75" customHeight="1" x14ac:dyDescent="0.3">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27.75" customHeight="1" x14ac:dyDescent="0.3">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27.75" customHeight="1" x14ac:dyDescent="0.3">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27.75" customHeight="1" x14ac:dyDescent="0.3">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27.75" customHeight="1" x14ac:dyDescent="0.3">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27.75" customHeight="1" x14ac:dyDescent="0.3">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27.75" customHeight="1" x14ac:dyDescent="0.3">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27.75" customHeight="1" x14ac:dyDescent="0.3">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27.75" customHeight="1" x14ac:dyDescent="0.3">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27.75" customHeight="1" x14ac:dyDescent="0.3">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27.75" customHeight="1" x14ac:dyDescent="0.3">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27.75" customHeight="1" x14ac:dyDescent="0.3">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27.75" customHeight="1" x14ac:dyDescent="0.3">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27.75" customHeight="1" x14ac:dyDescent="0.3">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27.75" customHeight="1" x14ac:dyDescent="0.3">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27.75" customHeight="1" x14ac:dyDescent="0.3">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27.75" customHeight="1" x14ac:dyDescent="0.3">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27.75" customHeight="1" x14ac:dyDescent="0.3">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27.75" customHeight="1" x14ac:dyDescent="0.3">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27.75" customHeight="1" x14ac:dyDescent="0.3">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27.75" customHeight="1" x14ac:dyDescent="0.3">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27.75" customHeight="1" x14ac:dyDescent="0.3">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27.75" customHeight="1" x14ac:dyDescent="0.3">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27.75" customHeight="1" x14ac:dyDescent="0.3">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27.75" customHeight="1" x14ac:dyDescent="0.3">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27.75" customHeight="1" x14ac:dyDescent="0.3">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27.75" customHeight="1" x14ac:dyDescent="0.3">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27.75" customHeight="1" x14ac:dyDescent="0.3">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27.75" customHeight="1" x14ac:dyDescent="0.3">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27.75" customHeight="1" x14ac:dyDescent="0.3">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27.75" customHeight="1" x14ac:dyDescent="0.3">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27.75" customHeight="1" x14ac:dyDescent="0.3">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27.75" customHeight="1" x14ac:dyDescent="0.3">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27.75" customHeight="1" x14ac:dyDescent="0.3">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27.75" customHeight="1" x14ac:dyDescent="0.3">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27.75" customHeight="1" x14ac:dyDescent="0.3">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27.75" customHeight="1" x14ac:dyDescent="0.3">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27.75" customHeight="1" x14ac:dyDescent="0.3">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27.75" customHeight="1" x14ac:dyDescent="0.3">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27.75" customHeight="1" x14ac:dyDescent="0.3">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27.75" customHeight="1" x14ac:dyDescent="0.3">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27.75" customHeight="1" x14ac:dyDescent="0.3">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27.75" customHeight="1" x14ac:dyDescent="0.3">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27.75" customHeight="1" x14ac:dyDescent="0.3">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27.75" customHeight="1" x14ac:dyDescent="0.3">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27.75" customHeight="1" x14ac:dyDescent="0.3">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27.75" customHeight="1" x14ac:dyDescent="0.3">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27.75" customHeight="1" x14ac:dyDescent="0.3">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27.75" customHeight="1" x14ac:dyDescent="0.3">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27.75" customHeight="1" x14ac:dyDescent="0.3">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27.75" customHeight="1" x14ac:dyDescent="0.3">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27.75" customHeight="1" x14ac:dyDescent="0.3">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27.75" customHeight="1" x14ac:dyDescent="0.3">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27.75" customHeight="1" x14ac:dyDescent="0.3">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27.75" customHeight="1" x14ac:dyDescent="0.3">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27.75" customHeight="1" x14ac:dyDescent="0.3">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27.75" customHeight="1" x14ac:dyDescent="0.3">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27.75" customHeight="1" x14ac:dyDescent="0.3">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27.75" customHeight="1" x14ac:dyDescent="0.3">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27.75" customHeight="1" x14ac:dyDescent="0.3">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27.75" customHeight="1" x14ac:dyDescent="0.3">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27.75" customHeight="1" x14ac:dyDescent="0.3">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27.75" customHeight="1" x14ac:dyDescent="0.3">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27.75" customHeight="1" x14ac:dyDescent="0.3">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27.75" customHeight="1" x14ac:dyDescent="0.3">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27.75" customHeight="1" x14ac:dyDescent="0.3">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27.75" customHeight="1" x14ac:dyDescent="0.3">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27.75" customHeight="1" x14ac:dyDescent="0.3">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27.75" customHeight="1" x14ac:dyDescent="0.3">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27.75" customHeight="1" x14ac:dyDescent="0.3">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27.75" customHeight="1" x14ac:dyDescent="0.3">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27.75" customHeight="1" x14ac:dyDescent="0.3">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27.75" customHeight="1" x14ac:dyDescent="0.3">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27.75" customHeight="1" x14ac:dyDescent="0.3">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27.75" customHeight="1" x14ac:dyDescent="0.3">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27.75" customHeight="1" x14ac:dyDescent="0.3">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27.75" customHeight="1" x14ac:dyDescent="0.3">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27.75" customHeight="1" x14ac:dyDescent="0.3">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27.75" customHeight="1" x14ac:dyDescent="0.3">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27.75" customHeight="1" x14ac:dyDescent="0.3">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27.75" customHeight="1" x14ac:dyDescent="0.3">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27.75" customHeight="1" x14ac:dyDescent="0.3">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27.75" customHeight="1" x14ac:dyDescent="0.3">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27.75" customHeight="1" x14ac:dyDescent="0.3">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27.75" customHeight="1" x14ac:dyDescent="0.3">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27.75" customHeight="1" x14ac:dyDescent="0.3">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27.75" customHeight="1" x14ac:dyDescent="0.3">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27.75" customHeight="1" x14ac:dyDescent="0.3">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27.75" customHeight="1" x14ac:dyDescent="0.3">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27.75" customHeight="1" x14ac:dyDescent="0.3">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27.75" customHeight="1" x14ac:dyDescent="0.3">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27.75" customHeight="1" x14ac:dyDescent="0.3">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27.75" customHeight="1" x14ac:dyDescent="0.3">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27.75" customHeight="1" x14ac:dyDescent="0.3">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27.75" customHeight="1" x14ac:dyDescent="0.3">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27.75" customHeight="1" x14ac:dyDescent="0.3">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27.75" customHeight="1" x14ac:dyDescent="0.3">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27.75" customHeight="1" x14ac:dyDescent="0.3">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27.75" customHeight="1" x14ac:dyDescent="0.3">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27.75" customHeight="1" x14ac:dyDescent="0.3">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27.75" customHeight="1" x14ac:dyDescent="0.3">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27.75" customHeight="1" x14ac:dyDescent="0.3">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27.75" customHeight="1" x14ac:dyDescent="0.3">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27.75" customHeight="1" x14ac:dyDescent="0.3">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27.75" customHeight="1" x14ac:dyDescent="0.3">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27.75" customHeight="1" x14ac:dyDescent="0.3">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27.75" customHeight="1" x14ac:dyDescent="0.3">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27.75" customHeight="1" x14ac:dyDescent="0.3">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27.75" customHeight="1" x14ac:dyDescent="0.3">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27.75" customHeight="1" x14ac:dyDescent="0.3">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27.75" customHeight="1" x14ac:dyDescent="0.3">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27.75" customHeight="1" x14ac:dyDescent="0.3">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27.75" customHeight="1" x14ac:dyDescent="0.3">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27.75" customHeight="1" x14ac:dyDescent="0.3">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27.75" customHeight="1" x14ac:dyDescent="0.3">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27.75" customHeight="1" x14ac:dyDescent="0.3">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27.75" customHeight="1" x14ac:dyDescent="0.3">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27.75" customHeight="1" x14ac:dyDescent="0.3">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27.75" customHeight="1" x14ac:dyDescent="0.3">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27.75" customHeight="1" x14ac:dyDescent="0.3">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27.75" customHeight="1" x14ac:dyDescent="0.3">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27.75" customHeight="1" x14ac:dyDescent="0.3">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27.75" customHeight="1" x14ac:dyDescent="0.3">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27.75" customHeight="1" x14ac:dyDescent="0.3">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27.75" customHeight="1" x14ac:dyDescent="0.3">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27.75" customHeight="1" x14ac:dyDescent="0.3">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27.75" customHeight="1" x14ac:dyDescent="0.3">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27.75" customHeight="1" x14ac:dyDescent="0.3">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27.75" customHeight="1" x14ac:dyDescent="0.3">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27.75" customHeight="1" x14ac:dyDescent="0.3">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27.75" customHeight="1" x14ac:dyDescent="0.3">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27.75" customHeight="1" x14ac:dyDescent="0.3">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27.75" customHeight="1" x14ac:dyDescent="0.3">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27.75" customHeight="1" x14ac:dyDescent="0.3">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27.75" customHeight="1" x14ac:dyDescent="0.3">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27.75" customHeight="1" x14ac:dyDescent="0.3">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27.75" customHeight="1" x14ac:dyDescent="0.3">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27.75" customHeight="1" x14ac:dyDescent="0.3">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27.75" customHeight="1" x14ac:dyDescent="0.3">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27.75" customHeight="1" x14ac:dyDescent="0.3">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27.75" customHeight="1" x14ac:dyDescent="0.3">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27.75" customHeight="1" x14ac:dyDescent="0.3">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27.75" customHeight="1" x14ac:dyDescent="0.3">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27.75" customHeight="1" x14ac:dyDescent="0.3">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27.75" customHeight="1" x14ac:dyDescent="0.3">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27.75" customHeight="1" x14ac:dyDescent="0.3">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27.75" customHeight="1" x14ac:dyDescent="0.3">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27.75" customHeight="1" x14ac:dyDescent="0.3">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27.75" customHeight="1" x14ac:dyDescent="0.3">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27.75" customHeight="1" x14ac:dyDescent="0.3">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27.75" customHeight="1" x14ac:dyDescent="0.3">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27.75" customHeight="1" x14ac:dyDescent="0.3">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27.75" customHeight="1" x14ac:dyDescent="0.3">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27.75" customHeight="1" x14ac:dyDescent="0.3">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27.75" customHeight="1" x14ac:dyDescent="0.3">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27.75" customHeight="1" x14ac:dyDescent="0.3">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27.75" customHeight="1" x14ac:dyDescent="0.3">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27.75" customHeight="1" x14ac:dyDescent="0.3">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27.75" customHeight="1" x14ac:dyDescent="0.3">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27.75" customHeight="1" x14ac:dyDescent="0.3">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27.75" customHeight="1" x14ac:dyDescent="0.3">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27.75" customHeight="1" x14ac:dyDescent="0.3">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27.75" customHeight="1" x14ac:dyDescent="0.3">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27.75" customHeight="1" x14ac:dyDescent="0.3">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27.75" customHeight="1" x14ac:dyDescent="0.3">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27.75" customHeight="1" x14ac:dyDescent="0.3">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27.75" customHeight="1" x14ac:dyDescent="0.3">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27.75" customHeight="1" x14ac:dyDescent="0.3">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27.75" customHeight="1" x14ac:dyDescent="0.3">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27.75" customHeight="1" x14ac:dyDescent="0.3">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27.75" customHeight="1" x14ac:dyDescent="0.3">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27.75" customHeight="1" x14ac:dyDescent="0.3">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27.75" customHeight="1" x14ac:dyDescent="0.3">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27.75" customHeight="1" x14ac:dyDescent="0.3">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27.75" customHeight="1" x14ac:dyDescent="0.3">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27.75" customHeight="1" x14ac:dyDescent="0.3">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27.75" customHeight="1" x14ac:dyDescent="0.3">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27.75" customHeight="1" x14ac:dyDescent="0.3">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27.75" customHeight="1" x14ac:dyDescent="0.3">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27.75" customHeight="1" x14ac:dyDescent="0.3">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27.75" customHeight="1" x14ac:dyDescent="0.3">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27.75" customHeight="1" x14ac:dyDescent="0.3">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27.75" customHeight="1" x14ac:dyDescent="0.3">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27.75" customHeight="1" x14ac:dyDescent="0.3">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27.75" customHeight="1" x14ac:dyDescent="0.3">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27.75" customHeight="1" x14ac:dyDescent="0.3">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27.75" customHeight="1" x14ac:dyDescent="0.3">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27.75" customHeight="1" x14ac:dyDescent="0.3">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27.75" customHeight="1" x14ac:dyDescent="0.3">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27.75" customHeight="1" x14ac:dyDescent="0.3">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27.75" customHeight="1" x14ac:dyDescent="0.3">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27.75" customHeight="1" x14ac:dyDescent="0.3">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27.75" customHeight="1" x14ac:dyDescent="0.3">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27.75" customHeight="1" x14ac:dyDescent="0.3">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27.75" customHeight="1" x14ac:dyDescent="0.3">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27.75" customHeight="1" x14ac:dyDescent="0.3">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27.75" customHeight="1" x14ac:dyDescent="0.3">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27.75" customHeight="1" x14ac:dyDescent="0.3">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27.75" customHeight="1" x14ac:dyDescent="0.3">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27.75" customHeight="1" x14ac:dyDescent="0.3">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27.75" customHeight="1" x14ac:dyDescent="0.3">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27.75" customHeight="1" x14ac:dyDescent="0.3">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27.75" customHeight="1" x14ac:dyDescent="0.3">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27.75" customHeight="1" x14ac:dyDescent="0.3">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27.75" customHeight="1" x14ac:dyDescent="0.3">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27.75" customHeight="1" x14ac:dyDescent="0.3">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27.75" customHeight="1" x14ac:dyDescent="0.3">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27.75" customHeight="1" x14ac:dyDescent="0.3">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27.75" customHeight="1" x14ac:dyDescent="0.3">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27.75" customHeight="1" x14ac:dyDescent="0.3">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27.75" customHeight="1" x14ac:dyDescent="0.3">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27.75" customHeight="1" x14ac:dyDescent="0.3">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27.75" customHeight="1" x14ac:dyDescent="0.3">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27.75" customHeight="1" x14ac:dyDescent="0.3">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27.75" customHeight="1" x14ac:dyDescent="0.3">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27.75" customHeight="1" x14ac:dyDescent="0.3">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27.75" customHeight="1" x14ac:dyDescent="0.3">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27.75" customHeight="1" x14ac:dyDescent="0.3">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27.75" customHeight="1" x14ac:dyDescent="0.3">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27.75" customHeight="1" x14ac:dyDescent="0.3">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27.75" customHeight="1" x14ac:dyDescent="0.3">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27.75" customHeight="1" x14ac:dyDescent="0.3">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27.75" customHeight="1" x14ac:dyDescent="0.3">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27.75" customHeight="1" x14ac:dyDescent="0.3">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27.75" customHeight="1" x14ac:dyDescent="0.3">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27.75" customHeight="1" x14ac:dyDescent="0.3">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27.75" customHeight="1" x14ac:dyDescent="0.3">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27.75" customHeight="1" x14ac:dyDescent="0.3">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27.75" customHeight="1" x14ac:dyDescent="0.3">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27.75" customHeight="1" x14ac:dyDescent="0.3">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27.75" customHeight="1" x14ac:dyDescent="0.3">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27.75" customHeight="1" x14ac:dyDescent="0.3">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27.75" customHeight="1" x14ac:dyDescent="0.3">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27.75" customHeight="1" x14ac:dyDescent="0.3">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27.75" customHeight="1" x14ac:dyDescent="0.3">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27.75" customHeight="1" x14ac:dyDescent="0.3">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27.75" customHeight="1" x14ac:dyDescent="0.3">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27.75" customHeight="1" x14ac:dyDescent="0.3">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27.75" customHeight="1" x14ac:dyDescent="0.3">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27.75" customHeight="1" x14ac:dyDescent="0.3">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27.75" customHeight="1" x14ac:dyDescent="0.3">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27.75" customHeight="1" x14ac:dyDescent="0.3">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27.75" customHeight="1" x14ac:dyDescent="0.3">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27.75" customHeight="1" x14ac:dyDescent="0.3">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27.75" customHeight="1" x14ac:dyDescent="0.3">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27.75" customHeight="1" x14ac:dyDescent="0.3">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27.75" customHeight="1" x14ac:dyDescent="0.3">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27.75" customHeight="1" x14ac:dyDescent="0.3">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27.75" customHeight="1" x14ac:dyDescent="0.3">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27.75" customHeight="1" x14ac:dyDescent="0.3">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27.75" customHeight="1" x14ac:dyDescent="0.3">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27.75" customHeight="1" x14ac:dyDescent="0.3">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27.75" customHeight="1" x14ac:dyDescent="0.3">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27.75" customHeight="1" x14ac:dyDescent="0.3">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27.75" customHeight="1" x14ac:dyDescent="0.3">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27.75" customHeight="1" x14ac:dyDescent="0.3">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27.75" customHeight="1" x14ac:dyDescent="0.3">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27.75" customHeight="1" x14ac:dyDescent="0.3">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27.75" customHeight="1" x14ac:dyDescent="0.3">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27.75" customHeight="1" x14ac:dyDescent="0.3">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27.75" customHeight="1" x14ac:dyDescent="0.3">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27.75" customHeight="1" x14ac:dyDescent="0.3">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27.75" customHeight="1" x14ac:dyDescent="0.3">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27.75" customHeight="1" x14ac:dyDescent="0.3">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27.75" customHeight="1" x14ac:dyDescent="0.3">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27.75" customHeight="1" x14ac:dyDescent="0.3">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27.75" customHeight="1" x14ac:dyDescent="0.3">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27.75" customHeight="1" x14ac:dyDescent="0.3">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27.75" customHeight="1" x14ac:dyDescent="0.3">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27.75" customHeight="1" x14ac:dyDescent="0.3">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27.75" customHeight="1" x14ac:dyDescent="0.3">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27.75" customHeight="1" x14ac:dyDescent="0.3">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27.75" customHeight="1" x14ac:dyDescent="0.3">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27.75" customHeight="1" x14ac:dyDescent="0.3">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27.75" customHeight="1" x14ac:dyDescent="0.3">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27.75" customHeight="1" x14ac:dyDescent="0.3">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27.75" customHeight="1" x14ac:dyDescent="0.3">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27.75" customHeight="1" x14ac:dyDescent="0.3">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27.75" customHeight="1" x14ac:dyDescent="0.3">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27.75" customHeight="1" x14ac:dyDescent="0.3">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27.75" customHeight="1" x14ac:dyDescent="0.3">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27.75" customHeight="1" x14ac:dyDescent="0.3">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27.75" customHeight="1" x14ac:dyDescent="0.3">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27.75" customHeight="1" x14ac:dyDescent="0.3">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27.75" customHeight="1" x14ac:dyDescent="0.3">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27.75" customHeight="1" x14ac:dyDescent="0.3">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27.75" customHeight="1" x14ac:dyDescent="0.3">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27.75" customHeight="1" x14ac:dyDescent="0.3">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27.75" customHeight="1" x14ac:dyDescent="0.3">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27.75" customHeight="1" x14ac:dyDescent="0.3">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27.75" customHeight="1" x14ac:dyDescent="0.3">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27.75" customHeight="1" x14ac:dyDescent="0.3">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27.75" customHeight="1" x14ac:dyDescent="0.3">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27.75" customHeight="1" x14ac:dyDescent="0.3">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27.75" customHeight="1" x14ac:dyDescent="0.3">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27.75" customHeight="1" x14ac:dyDescent="0.3">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27.75" customHeight="1" x14ac:dyDescent="0.3">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27.75" customHeight="1" x14ac:dyDescent="0.3">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27.75" customHeight="1" x14ac:dyDescent="0.3">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27.75" customHeight="1" x14ac:dyDescent="0.3">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27.75" customHeight="1" x14ac:dyDescent="0.3">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27.75" customHeight="1" x14ac:dyDescent="0.3">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27.75" customHeight="1" x14ac:dyDescent="0.3">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27.75" customHeight="1" x14ac:dyDescent="0.3">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27.75" customHeight="1" x14ac:dyDescent="0.3">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27.75" customHeight="1" x14ac:dyDescent="0.3">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27.75" customHeight="1" x14ac:dyDescent="0.3">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27.75" customHeight="1" x14ac:dyDescent="0.3">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27.75" customHeight="1" x14ac:dyDescent="0.3">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27.75" customHeight="1" x14ac:dyDescent="0.3">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27.75" customHeight="1" x14ac:dyDescent="0.3">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27.75" customHeight="1" x14ac:dyDescent="0.3">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27.75" customHeight="1" x14ac:dyDescent="0.3">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27.75" customHeight="1" x14ac:dyDescent="0.3">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27.75" customHeight="1" x14ac:dyDescent="0.3">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27.75" customHeight="1" x14ac:dyDescent="0.3">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27.75" customHeight="1" x14ac:dyDescent="0.3">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27.75" customHeight="1" x14ac:dyDescent="0.3">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27.75" customHeight="1" x14ac:dyDescent="0.3">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27.75" customHeight="1" x14ac:dyDescent="0.3">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27.75" customHeight="1" x14ac:dyDescent="0.3">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27.75" customHeight="1" x14ac:dyDescent="0.3">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27.75" customHeight="1" x14ac:dyDescent="0.3">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27.75" customHeight="1" x14ac:dyDescent="0.3">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27.75" customHeight="1" x14ac:dyDescent="0.3">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27.75" customHeight="1" x14ac:dyDescent="0.3">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27.75" customHeight="1" x14ac:dyDescent="0.3">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27.75" customHeight="1" x14ac:dyDescent="0.3">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27.75" customHeight="1" x14ac:dyDescent="0.3">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27.75" customHeight="1" x14ac:dyDescent="0.3">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27.75" customHeight="1" x14ac:dyDescent="0.3">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27.75" customHeight="1" x14ac:dyDescent="0.3">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27.75" customHeight="1" x14ac:dyDescent="0.3">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27.75" customHeight="1" x14ac:dyDescent="0.3">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27.75" customHeight="1" x14ac:dyDescent="0.3">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27.75" customHeight="1" x14ac:dyDescent="0.3">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27.75" customHeight="1" x14ac:dyDescent="0.3">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27.75" customHeight="1" x14ac:dyDescent="0.3">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27.75" customHeight="1" x14ac:dyDescent="0.3">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27.75" customHeight="1" x14ac:dyDescent="0.3">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27.75" customHeight="1" x14ac:dyDescent="0.3">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27.75" customHeight="1" x14ac:dyDescent="0.3">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27.75" customHeight="1" x14ac:dyDescent="0.3">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27.75" customHeight="1" x14ac:dyDescent="0.3">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27.75" customHeight="1" x14ac:dyDescent="0.3">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27.75" customHeight="1" x14ac:dyDescent="0.3">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27.75" customHeight="1" x14ac:dyDescent="0.3">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27.75" customHeight="1" x14ac:dyDescent="0.3">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27.75" customHeight="1" x14ac:dyDescent="0.3">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27.75" customHeight="1" x14ac:dyDescent="0.3">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27.75" customHeight="1" x14ac:dyDescent="0.3">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27.75" customHeight="1" x14ac:dyDescent="0.3">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27.75" customHeight="1" x14ac:dyDescent="0.3">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27.75" customHeight="1" x14ac:dyDescent="0.3">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27.75" customHeight="1" x14ac:dyDescent="0.3">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27.75" customHeight="1" x14ac:dyDescent="0.3">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27.75" customHeight="1" x14ac:dyDescent="0.3">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27.75" customHeight="1" x14ac:dyDescent="0.3">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27.75" customHeight="1" x14ac:dyDescent="0.3">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27.75" customHeight="1" x14ac:dyDescent="0.3">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27.75" customHeight="1" x14ac:dyDescent="0.3">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27.75" customHeight="1" x14ac:dyDescent="0.3">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27.75" customHeight="1" x14ac:dyDescent="0.3">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27.75" customHeight="1" x14ac:dyDescent="0.3">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27.75" customHeight="1" x14ac:dyDescent="0.3">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27.75" customHeight="1" x14ac:dyDescent="0.3">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27.75" customHeight="1" x14ac:dyDescent="0.3">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27.75" customHeight="1" x14ac:dyDescent="0.3">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27.75" customHeight="1" x14ac:dyDescent="0.3">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27.75" customHeight="1" x14ac:dyDescent="0.3">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27.75" customHeight="1" x14ac:dyDescent="0.3">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27.75" customHeight="1" x14ac:dyDescent="0.3">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27.75" customHeight="1" x14ac:dyDescent="0.3">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27.75" customHeight="1" x14ac:dyDescent="0.3">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27.75" customHeight="1" x14ac:dyDescent="0.3">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27.75" customHeight="1" x14ac:dyDescent="0.3">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27.75" customHeight="1" x14ac:dyDescent="0.3">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27.75" customHeight="1" x14ac:dyDescent="0.3">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27.75" customHeight="1" x14ac:dyDescent="0.3">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27.75" customHeight="1" x14ac:dyDescent="0.3">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27.75" customHeight="1" x14ac:dyDescent="0.3">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27.75" customHeight="1" x14ac:dyDescent="0.3">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27.75" customHeight="1" x14ac:dyDescent="0.3">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27.75" customHeight="1" x14ac:dyDescent="0.3">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27.75" customHeight="1" x14ac:dyDescent="0.3">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27.75" customHeight="1" x14ac:dyDescent="0.3">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27.75" customHeight="1" x14ac:dyDescent="0.3">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27.75" customHeight="1" x14ac:dyDescent="0.3">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27.75" customHeight="1" x14ac:dyDescent="0.3">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27.75" customHeight="1" x14ac:dyDescent="0.3">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27.75" customHeight="1" x14ac:dyDescent="0.3">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27.75" customHeight="1" x14ac:dyDescent="0.3">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27.75" customHeight="1" x14ac:dyDescent="0.3">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27.75" customHeight="1" x14ac:dyDescent="0.3">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27.75" customHeight="1" x14ac:dyDescent="0.3">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27.75" customHeight="1" x14ac:dyDescent="0.3">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27.75" customHeight="1" x14ac:dyDescent="0.3">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27.75" customHeight="1" x14ac:dyDescent="0.3">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27.75" customHeight="1" x14ac:dyDescent="0.3">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27.75" customHeight="1" x14ac:dyDescent="0.3">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27.75" customHeight="1" x14ac:dyDescent="0.3">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27.75" customHeight="1" x14ac:dyDescent="0.3">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27.75" customHeight="1" x14ac:dyDescent="0.3">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27.75" customHeight="1" x14ac:dyDescent="0.3">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27.75" customHeight="1" x14ac:dyDescent="0.3">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27.75" customHeight="1" x14ac:dyDescent="0.3">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27.75" customHeight="1" x14ac:dyDescent="0.3">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27.75" customHeight="1" x14ac:dyDescent="0.3">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27.75" customHeight="1" x14ac:dyDescent="0.3">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27.75" customHeight="1" x14ac:dyDescent="0.3">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27.75" customHeight="1" x14ac:dyDescent="0.3">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27.75" customHeight="1" x14ac:dyDescent="0.3">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27.75" customHeight="1" x14ac:dyDescent="0.3">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27.75" customHeight="1" x14ac:dyDescent="0.3">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27.75" customHeight="1" x14ac:dyDescent="0.3">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27.75" customHeight="1" x14ac:dyDescent="0.3">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27.75" customHeight="1" x14ac:dyDescent="0.3">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27.75" customHeight="1" x14ac:dyDescent="0.3">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27.75" customHeight="1" x14ac:dyDescent="0.3">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27.75" customHeight="1" x14ac:dyDescent="0.3">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27.75" customHeight="1" x14ac:dyDescent="0.3">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27.75" customHeight="1" x14ac:dyDescent="0.3">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27.75" customHeight="1" x14ac:dyDescent="0.3">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27.75" customHeight="1" x14ac:dyDescent="0.3">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27.75" customHeight="1" x14ac:dyDescent="0.3">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27.75" customHeight="1" x14ac:dyDescent="0.3">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27.75" customHeight="1" x14ac:dyDescent="0.3">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27.75" customHeight="1" x14ac:dyDescent="0.3">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27.75" customHeight="1" x14ac:dyDescent="0.3">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27.75" customHeight="1" x14ac:dyDescent="0.3">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27.75" customHeight="1" x14ac:dyDescent="0.3">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27.75" customHeight="1" x14ac:dyDescent="0.3">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27.75" customHeight="1" x14ac:dyDescent="0.3">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27.75" customHeight="1" x14ac:dyDescent="0.3">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27.75" customHeight="1" x14ac:dyDescent="0.3">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27.75" customHeight="1" x14ac:dyDescent="0.3">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27.75" customHeight="1" x14ac:dyDescent="0.3">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27.75" customHeight="1" x14ac:dyDescent="0.3">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27.75" customHeight="1" x14ac:dyDescent="0.3">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27.75" customHeight="1" x14ac:dyDescent="0.3">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27.75" customHeight="1" x14ac:dyDescent="0.3">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27.75" customHeight="1" x14ac:dyDescent="0.3">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27.75" customHeight="1" x14ac:dyDescent="0.3">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27.75" customHeight="1" x14ac:dyDescent="0.3">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27.75" customHeight="1" x14ac:dyDescent="0.3">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27.75" customHeight="1" x14ac:dyDescent="0.3">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27.75" customHeight="1" x14ac:dyDescent="0.3">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27.75" customHeight="1" x14ac:dyDescent="0.3">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27.75" customHeight="1" x14ac:dyDescent="0.3">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27.75" customHeight="1" x14ac:dyDescent="0.3">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27.75" customHeight="1" x14ac:dyDescent="0.3">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27.75" customHeight="1" x14ac:dyDescent="0.3">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27.75" customHeight="1" x14ac:dyDescent="0.3">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27.75" customHeight="1" x14ac:dyDescent="0.3">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27.75" customHeight="1" x14ac:dyDescent="0.3">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27.75" customHeight="1" x14ac:dyDescent="0.3">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27.75" customHeight="1" x14ac:dyDescent="0.3">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27.75" customHeight="1" x14ac:dyDescent="0.3">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27.75" customHeight="1" x14ac:dyDescent="0.3">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27.75" customHeight="1" x14ac:dyDescent="0.3">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27.75" customHeight="1" x14ac:dyDescent="0.3">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27.75" customHeight="1" x14ac:dyDescent="0.3">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27.75" customHeight="1" x14ac:dyDescent="0.3">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27.75" customHeight="1" x14ac:dyDescent="0.3">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27.75" customHeight="1" x14ac:dyDescent="0.3">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27.75" customHeight="1" x14ac:dyDescent="0.3">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27.75" customHeight="1" x14ac:dyDescent="0.3">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27.75" customHeight="1" x14ac:dyDescent="0.3">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27.75" customHeight="1" x14ac:dyDescent="0.3">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27.75" customHeight="1" x14ac:dyDescent="0.3">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27.75" customHeight="1" x14ac:dyDescent="0.3">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27.75" customHeight="1" x14ac:dyDescent="0.3">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27.75" customHeight="1" x14ac:dyDescent="0.3">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27.75" customHeight="1" x14ac:dyDescent="0.3">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27.75" customHeight="1" x14ac:dyDescent="0.3">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27.75" customHeight="1" x14ac:dyDescent="0.3">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27.75" customHeight="1" x14ac:dyDescent="0.3">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27.75" customHeight="1" x14ac:dyDescent="0.3">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27.75" customHeight="1" x14ac:dyDescent="0.3">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27.75" customHeight="1" x14ac:dyDescent="0.3">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27.75" customHeight="1" x14ac:dyDescent="0.3">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27.75" customHeight="1" x14ac:dyDescent="0.3">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27.75" customHeight="1" x14ac:dyDescent="0.3">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27.75" customHeight="1" x14ac:dyDescent="0.3">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27.75" customHeight="1" x14ac:dyDescent="0.3">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27.75" customHeight="1" x14ac:dyDescent="0.3">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27.75" customHeight="1" x14ac:dyDescent="0.3">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27.75" customHeight="1" x14ac:dyDescent="0.3">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27.75" customHeight="1" x14ac:dyDescent="0.3">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27.75" customHeight="1" x14ac:dyDescent="0.3">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27.75" customHeight="1" x14ac:dyDescent="0.3">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27.75" customHeight="1" x14ac:dyDescent="0.3">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27.75" customHeight="1" x14ac:dyDescent="0.3">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27.75" customHeight="1" x14ac:dyDescent="0.3">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27.75" customHeight="1" x14ac:dyDescent="0.3">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27.75" customHeight="1" x14ac:dyDescent="0.3">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27.75" customHeight="1" x14ac:dyDescent="0.3">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27.75" customHeight="1" x14ac:dyDescent="0.3">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27.75" customHeight="1" x14ac:dyDescent="0.3">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27.75" customHeight="1" x14ac:dyDescent="0.3">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27.75" customHeight="1" x14ac:dyDescent="0.3">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27.75" customHeight="1" x14ac:dyDescent="0.3">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27.75" customHeight="1" x14ac:dyDescent="0.3">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27.75" customHeight="1" x14ac:dyDescent="0.3">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27.75" customHeight="1" x14ac:dyDescent="0.3">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27.75" customHeight="1" x14ac:dyDescent="0.3">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27.75" customHeight="1" x14ac:dyDescent="0.3">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27.75" customHeight="1" x14ac:dyDescent="0.3">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27.75" customHeight="1" x14ac:dyDescent="0.3">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27.75" customHeight="1" x14ac:dyDescent="0.3">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27.75" customHeight="1" x14ac:dyDescent="0.3">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27.75" customHeight="1" x14ac:dyDescent="0.3">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27.75" customHeight="1" x14ac:dyDescent="0.3">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27.75" customHeight="1" x14ac:dyDescent="0.3">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27.75" customHeight="1" x14ac:dyDescent="0.3">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27.75" customHeight="1" x14ac:dyDescent="0.3">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27.75" customHeight="1" x14ac:dyDescent="0.3">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27.75" customHeight="1" x14ac:dyDescent="0.3">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27.75" customHeight="1" x14ac:dyDescent="0.3">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27.75" customHeight="1" x14ac:dyDescent="0.3">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27.75" customHeight="1" x14ac:dyDescent="0.3">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27.75" customHeight="1" x14ac:dyDescent="0.3">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27.75" customHeight="1" x14ac:dyDescent="0.3">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27.75" customHeight="1" x14ac:dyDescent="0.3">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27.75" customHeight="1" x14ac:dyDescent="0.3">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27.75" customHeight="1" x14ac:dyDescent="0.3">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27.75" customHeight="1" x14ac:dyDescent="0.3">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27.75" customHeight="1" x14ac:dyDescent="0.3">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27.75" customHeight="1" x14ac:dyDescent="0.3">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27.75" customHeight="1" x14ac:dyDescent="0.3">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27.75" customHeight="1" x14ac:dyDescent="0.3">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27.75" customHeight="1" x14ac:dyDescent="0.3">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27.75" customHeight="1" x14ac:dyDescent="0.3">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27.75" customHeight="1" x14ac:dyDescent="0.3">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27.75" customHeight="1" x14ac:dyDescent="0.3">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27.75" customHeight="1" x14ac:dyDescent="0.3">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27.75" customHeight="1" x14ac:dyDescent="0.3">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27.75" customHeight="1" x14ac:dyDescent="0.3">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27.75" customHeight="1" x14ac:dyDescent="0.3">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27.75" customHeight="1" x14ac:dyDescent="0.3">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27.75" customHeight="1" x14ac:dyDescent="0.3">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27.75" customHeight="1" x14ac:dyDescent="0.3">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27.75" customHeight="1" x14ac:dyDescent="0.3">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27.75" customHeight="1" x14ac:dyDescent="0.3">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27.75" customHeight="1" x14ac:dyDescent="0.3">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27.75" customHeight="1" x14ac:dyDescent="0.3">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27.75" customHeight="1" x14ac:dyDescent="0.3">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27.75" customHeight="1" x14ac:dyDescent="0.3">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27.75" customHeight="1" x14ac:dyDescent="0.3">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27.75" customHeight="1" x14ac:dyDescent="0.3">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row r="1001" spans="1:26" ht="27.75" customHeight="1" x14ac:dyDescent="0.3">
      <c r="A1001" s="28"/>
      <c r="B1001" s="28"/>
      <c r="C1001" s="28"/>
      <c r="D1001" s="28"/>
      <c r="E1001" s="28"/>
      <c r="F1001" s="28"/>
      <c r="G1001" s="28"/>
      <c r="H1001" s="28"/>
      <c r="I1001" s="28"/>
      <c r="J1001" s="28"/>
      <c r="K1001" s="28"/>
      <c r="L1001" s="28"/>
      <c r="M1001" s="28"/>
      <c r="N1001" s="28"/>
      <c r="O1001" s="28"/>
      <c r="P1001" s="28"/>
      <c r="Q1001" s="28"/>
      <c r="R1001" s="28"/>
      <c r="S1001" s="28"/>
      <c r="T1001" s="28"/>
      <c r="U1001" s="28"/>
      <c r="V1001" s="28"/>
      <c r="W1001" s="28"/>
      <c r="X1001" s="28"/>
      <c r="Y1001" s="28"/>
      <c r="Z1001" s="28"/>
    </row>
  </sheetData>
  <mergeCells count="4">
    <mergeCell ref="A1:A2"/>
    <mergeCell ref="B1:B2"/>
    <mergeCell ref="C1:H1"/>
    <mergeCell ref="I1:M1"/>
  </mergeCells>
  <conditionalFormatting sqref="B1:C1 I1:K1 A1:A2 L1:M2 H2 I4:K43 C4:G63 H4:H66 L4:M66 I45:K66 C66:G66 J70:J71 I72">
    <cfRule type="cellIs" dxfId="134" priority="1" operator="lessThan">
      <formula>0</formula>
    </cfRule>
  </conditionalFormatting>
  <conditionalFormatting sqref="C3:M3 H44:K44 C64:D65 F64:G65">
    <cfRule type="cellIs" dxfId="133" priority="2" operator="lessThan">
      <formula>0</formula>
    </cfRule>
  </conditionalFormatting>
  <conditionalFormatting sqref="C67:M67">
    <cfRule type="cellIs" dxfId="132" priority="3" operator="lessThan">
      <formula>0</formula>
    </cfRule>
  </conditionalFormatting>
  <conditionalFormatting sqref="E43:G43">
    <cfRule type="cellIs" dxfId="131" priority="4" operator="lessThan">
      <formula>0</formula>
    </cfRule>
  </conditionalFormatting>
  <conditionalFormatting sqref="H3:H68 L3:L68 I64:K68 I3:K10 I14:K18 I20:K25 I39:K43 I45:K46 I54:K62">
    <cfRule type="cellIs" dxfId="130" priority="5" operator="lessThan">
      <formula>0</formula>
    </cfRule>
  </conditionalFormatting>
  <conditionalFormatting sqref="H68">
    <cfRule type="cellIs" dxfId="129" priority="6" operator="lessThan">
      <formula>0</formula>
    </cfRule>
  </conditionalFormatting>
  <conditionalFormatting sqref="K68">
    <cfRule type="cellIs" dxfId="128" priority="8" operator="lessThan">
      <formula>0</formula>
    </cfRule>
  </conditionalFormatting>
  <conditionalFormatting sqref="L67:L68">
    <cfRule type="cellIs" dxfId="127" priority="9" operator="lessThan">
      <formula>0</formula>
    </cfRule>
  </conditionalFormatting>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A1E2ED"/>
  </sheetPr>
  <dimension ref="A1:K1000"/>
  <sheetViews>
    <sheetView topLeftCell="F4" zoomScaleNormal="100" workbookViewId="0">
      <selection activeCell="I8" sqref="I8"/>
    </sheetView>
  </sheetViews>
  <sheetFormatPr baseColWidth="10" defaultColWidth="14.5" defaultRowHeight="15" customHeight="1" x14ac:dyDescent="0.2"/>
  <cols>
    <col min="1" max="1" width="27.5" customWidth="1"/>
    <col min="2" max="2" width="35.5" customWidth="1"/>
    <col min="3" max="3" width="25" customWidth="1"/>
    <col min="4" max="4" width="20.1640625" customWidth="1"/>
    <col min="5" max="5" width="26.1640625" customWidth="1"/>
    <col min="6" max="6" width="27.33203125" customWidth="1"/>
    <col min="7" max="7" width="18.6640625" customWidth="1"/>
    <col min="8" max="8" width="15.83203125" customWidth="1"/>
    <col min="9" max="9" width="34" customWidth="1"/>
    <col min="10" max="10" width="15.5" customWidth="1"/>
    <col min="11" max="11" width="36.6640625" customWidth="1"/>
    <col min="12" max="26" width="11.5" customWidth="1"/>
  </cols>
  <sheetData>
    <row r="1" spans="1:11" ht="27.75" customHeight="1" x14ac:dyDescent="0.2">
      <c r="A1" s="613" t="s">
        <v>455</v>
      </c>
      <c r="B1" s="614"/>
      <c r="C1" s="614"/>
      <c r="D1" s="614"/>
      <c r="E1" s="614"/>
      <c r="F1" s="614"/>
      <c r="G1" s="614"/>
      <c r="H1" s="614"/>
      <c r="I1" s="614"/>
      <c r="J1" s="614"/>
      <c r="K1" s="596"/>
    </row>
    <row r="2" spans="1:11" ht="27.75" customHeight="1" x14ac:dyDescent="0.2">
      <c r="A2" s="599"/>
      <c r="B2" s="615"/>
      <c r="C2" s="615"/>
      <c r="D2" s="615"/>
      <c r="E2" s="615"/>
      <c r="F2" s="615"/>
      <c r="G2" s="615"/>
      <c r="H2" s="615"/>
      <c r="I2" s="615"/>
      <c r="J2" s="615"/>
      <c r="K2" s="600"/>
    </row>
    <row r="3" spans="1:11" ht="27.75" customHeight="1" x14ac:dyDescent="0.25">
      <c r="A3" s="606" t="s">
        <v>378</v>
      </c>
      <c r="B3" s="608" t="s">
        <v>330</v>
      </c>
      <c r="C3" s="609" t="s">
        <v>379</v>
      </c>
      <c r="D3" s="610"/>
      <c r="E3" s="610"/>
      <c r="F3" s="610"/>
      <c r="G3" s="610"/>
      <c r="H3" s="611"/>
      <c r="I3" s="612"/>
      <c r="J3" s="610"/>
      <c r="K3" s="611"/>
    </row>
    <row r="4" spans="1:11" ht="27.75" customHeight="1" x14ac:dyDescent="0.25">
      <c r="A4" s="607"/>
      <c r="B4" s="607"/>
      <c r="C4" s="129" t="s">
        <v>381</v>
      </c>
      <c r="D4" s="130" t="s">
        <v>384</v>
      </c>
      <c r="E4" s="131" t="s">
        <v>456</v>
      </c>
      <c r="F4" s="132" t="s">
        <v>386</v>
      </c>
      <c r="G4" s="133" t="s">
        <v>381</v>
      </c>
      <c r="H4" s="134" t="s">
        <v>384</v>
      </c>
      <c r="I4" s="135" t="s">
        <v>456</v>
      </c>
      <c r="J4" s="136" t="s">
        <v>386</v>
      </c>
      <c r="K4" s="137" t="s">
        <v>457</v>
      </c>
    </row>
    <row r="5" spans="1:11" ht="27.75" customHeight="1" x14ac:dyDescent="0.2">
      <c r="A5" s="183" t="s">
        <v>458</v>
      </c>
      <c r="B5" s="184" t="s">
        <v>455</v>
      </c>
      <c r="C5" s="185">
        <v>0</v>
      </c>
      <c r="D5" s="61">
        <v>11824.16</v>
      </c>
      <c r="E5" s="61">
        <v>0</v>
      </c>
      <c r="F5" s="186">
        <f>D5-C5+E5</f>
        <v>11824.16</v>
      </c>
      <c r="G5" s="185">
        <v>0</v>
      </c>
      <c r="H5" s="61">
        <f>SUMIFS('Cashbook Wix'!B2:B3099,'Cashbook Wix'!A2:A3099,"MEMBERSHIPS")+11824.16</f>
        <v>11846.28</v>
      </c>
      <c r="I5" s="61">
        <v>0</v>
      </c>
      <c r="J5" s="187">
        <f>H5+I5-G5</f>
        <v>11846.28</v>
      </c>
      <c r="K5" s="188">
        <f>J5-F5</f>
        <v>22.1200000000008</v>
      </c>
    </row>
    <row r="6" spans="1:11" ht="27.75" customHeight="1" x14ac:dyDescent="0.2"/>
    <row r="7" spans="1:11" ht="27.75" customHeight="1" x14ac:dyDescent="0.2"/>
    <row r="8" spans="1:11" ht="27.75" customHeight="1" x14ac:dyDescent="0.2"/>
    <row r="9" spans="1:11" ht="27.75" customHeight="1" x14ac:dyDescent="0.2"/>
    <row r="10" spans="1:11" ht="14.25" customHeight="1" x14ac:dyDescent="0.2"/>
    <row r="11" spans="1:11" ht="14.25" customHeight="1" x14ac:dyDescent="0.2"/>
    <row r="12" spans="1:11" ht="14.25" customHeight="1" x14ac:dyDescent="0.2"/>
    <row r="13" spans="1:11" ht="14.25" customHeight="1" x14ac:dyDescent="0.2"/>
    <row r="14" spans="1:11" ht="14.25" customHeight="1" x14ac:dyDescent="0.2"/>
    <row r="15" spans="1:11" ht="14.25" customHeight="1" x14ac:dyDescent="0.2"/>
    <row r="16" spans="1:11"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5">
    <mergeCell ref="A1:K2"/>
    <mergeCell ref="A3:A4"/>
    <mergeCell ref="B3:B4"/>
    <mergeCell ref="C3:H3"/>
    <mergeCell ref="I3:K3"/>
  </mergeCells>
  <conditionalFormatting sqref="A3:C3 I3:K3 H4 A4:A5">
    <cfRule type="cellIs" dxfId="126" priority="1" operator="lessThan">
      <formula>0</formula>
    </cfRule>
  </conditionalFormatting>
  <conditionalFormatting sqref="C5:K5">
    <cfRule type="cellIs" dxfId="125" priority="2" operator="lessThan">
      <formula>0</formula>
    </cfRule>
  </conditionalFormatting>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417B84"/>
  </sheetPr>
  <dimension ref="A1:Z1000"/>
  <sheetViews>
    <sheetView showGridLines="0" zoomScale="47" workbookViewId="0">
      <pane xSplit="2" ySplit="2" topLeftCell="E20" activePane="bottomRight" state="frozen"/>
      <selection pane="topRight" activeCell="C1" sqref="C1"/>
      <selection pane="bottomLeft" activeCell="A3" sqref="A3"/>
      <selection pane="bottomRight" activeCell="J43" sqref="J43"/>
    </sheetView>
  </sheetViews>
  <sheetFormatPr baseColWidth="10" defaultColWidth="14.5" defaultRowHeight="15" customHeight="1" x14ac:dyDescent="0.2"/>
  <cols>
    <col min="1" max="1" width="33.5" customWidth="1"/>
    <col min="2" max="2" width="61.83203125" customWidth="1"/>
    <col min="3" max="4" width="25.83203125" customWidth="1"/>
    <col min="5" max="5" width="33.5" customWidth="1"/>
    <col min="6" max="8" width="25.83203125" customWidth="1"/>
    <col min="9" max="9" width="34.83203125" customWidth="1"/>
    <col min="10" max="10" width="25.83203125" customWidth="1"/>
    <col min="11" max="11" width="37.33203125" customWidth="1"/>
    <col min="12" max="12" width="11.5" customWidth="1"/>
    <col min="13" max="13" width="2" customWidth="1"/>
    <col min="14" max="14" width="26.33203125" customWidth="1"/>
    <col min="15" max="15" width="20.83203125" customWidth="1"/>
    <col min="16" max="26" width="11.5" customWidth="1"/>
  </cols>
  <sheetData>
    <row r="1" spans="1:26" ht="24.75" customHeight="1" x14ac:dyDescent="0.25">
      <c r="A1" s="606" t="s">
        <v>459</v>
      </c>
      <c r="B1" s="608" t="s">
        <v>460</v>
      </c>
      <c r="C1" s="609" t="s">
        <v>379</v>
      </c>
      <c r="D1" s="610"/>
      <c r="E1" s="610"/>
      <c r="F1" s="611"/>
      <c r="G1" s="612" t="s">
        <v>380</v>
      </c>
      <c r="H1" s="610"/>
      <c r="I1" s="610"/>
      <c r="J1" s="610"/>
      <c r="K1" s="611"/>
    </row>
    <row r="2" spans="1:26" ht="24.75" customHeight="1" x14ac:dyDescent="0.25">
      <c r="A2" s="607"/>
      <c r="B2" s="607"/>
      <c r="C2" s="129" t="s">
        <v>381</v>
      </c>
      <c r="D2" s="130" t="s">
        <v>384</v>
      </c>
      <c r="E2" s="131" t="s">
        <v>456</v>
      </c>
      <c r="F2" s="132" t="s">
        <v>386</v>
      </c>
      <c r="G2" s="189" t="s">
        <v>381</v>
      </c>
      <c r="H2" s="139" t="s">
        <v>384</v>
      </c>
      <c r="I2" s="190" t="s">
        <v>456</v>
      </c>
      <c r="J2" s="191" t="s">
        <v>386</v>
      </c>
      <c r="K2" s="137" t="s">
        <v>457</v>
      </c>
    </row>
    <row r="3" spans="1:26" ht="24.75" customHeight="1" x14ac:dyDescent="0.3">
      <c r="A3" s="618" t="s">
        <v>461</v>
      </c>
      <c r="B3" s="192" t="s">
        <v>462</v>
      </c>
      <c r="C3" s="193">
        <v>20</v>
      </c>
      <c r="D3" s="193">
        <v>0</v>
      </c>
      <c r="E3" s="194">
        <v>20</v>
      </c>
      <c r="F3" s="194">
        <f>D3+E3-C3</f>
        <v>0</v>
      </c>
      <c r="G3" s="195">
        <f>SUMIFS('Cashbook ING'!B3:B3966, 'Cashbook ING'!A3:A3966, "BG_ASVA")</f>
        <v>-20</v>
      </c>
      <c r="H3" s="194">
        <f>SUMIFS('Cashbook ING'!D3:D3966, 'Cashbook ING'!B3:B3966, "BG_ASVA")</f>
        <v>0</v>
      </c>
      <c r="I3" s="194">
        <v>0</v>
      </c>
      <c r="J3" s="148">
        <f t="shared" ref="J3:J28" si="0">H3+I3+G3</f>
        <v>-20</v>
      </c>
      <c r="K3" s="145">
        <f t="shared" ref="K3:K28" si="1">J3-F3</f>
        <v>-20</v>
      </c>
      <c r="L3" s="28"/>
      <c r="M3" s="28"/>
      <c r="N3" s="28"/>
      <c r="O3" s="28"/>
      <c r="P3" s="28"/>
      <c r="Q3" s="28"/>
      <c r="R3" s="28"/>
      <c r="S3" s="28"/>
      <c r="T3" s="28"/>
      <c r="U3" s="28"/>
      <c r="V3" s="28"/>
      <c r="W3" s="28"/>
      <c r="X3" s="28"/>
      <c r="Y3" s="28"/>
      <c r="Z3" s="28"/>
    </row>
    <row r="4" spans="1:26" ht="24.75" customHeight="1" x14ac:dyDescent="0.3">
      <c r="A4" s="617"/>
      <c r="B4" s="192" t="s">
        <v>463</v>
      </c>
      <c r="C4" s="193">
        <v>0</v>
      </c>
      <c r="D4" s="193">
        <v>5786.48</v>
      </c>
      <c r="E4" s="194">
        <v>0</v>
      </c>
      <c r="F4" s="194">
        <f t="shared" ref="F4:F6" si="2">E4+D4-C4</f>
        <v>5786.48</v>
      </c>
      <c r="G4" s="196">
        <f>SUMIFS('Cashbook ING'!B2:B6976,'Cashbook ING'!A2:A6976,"Board24/25_Expense")</f>
        <v>-1195.5800000000002</v>
      </c>
      <c r="H4" s="194">
        <f>SUMIFS('Cashbook Wix'!B2:B7073,'Cashbook Wix'!A2:A7073,"Board24/25_Income") + SUMIFS('Cashbook ING'!B2:B6976,'Cashbook ING'!A2:A6976,"Board24/25_Income") + SUMIFS('Cashbook ING'!B2:B3966, 'Cashbook ING'!A2:A3966, "BG_Account23/24")+ SUMIFS('Cashbook ING'!B2:B6976,'Cashbook ING'!A2:A6976,"Uva_Sponsorship")</f>
        <v>1672.0700000000002</v>
      </c>
      <c r="I4" s="194">
        <v>0</v>
      </c>
      <c r="J4" s="148">
        <f t="shared" si="0"/>
        <v>476.49</v>
      </c>
      <c r="K4" s="145">
        <f t="shared" si="1"/>
        <v>-5309.99</v>
      </c>
      <c r="L4" s="28"/>
      <c r="M4" s="28"/>
      <c r="N4" s="178"/>
      <c r="O4" s="182"/>
      <c r="P4" s="28"/>
      <c r="Q4" s="28"/>
      <c r="R4" s="28"/>
      <c r="S4" s="28"/>
      <c r="T4" s="28"/>
      <c r="U4" s="28"/>
      <c r="V4" s="28"/>
      <c r="W4" s="28"/>
      <c r="X4" s="28"/>
      <c r="Y4" s="28"/>
      <c r="Z4" s="28"/>
    </row>
    <row r="5" spans="1:26" ht="24.75" customHeight="1" x14ac:dyDescent="0.3">
      <c r="A5" s="617"/>
      <c r="B5" s="192" t="s">
        <v>464</v>
      </c>
      <c r="C5" s="193">
        <v>0</v>
      </c>
      <c r="D5" s="193">
        <v>0</v>
      </c>
      <c r="E5" s="194">
        <v>0</v>
      </c>
      <c r="F5" s="194">
        <f t="shared" si="2"/>
        <v>0</v>
      </c>
      <c r="G5" s="195">
        <f>SUMIFS('Cashbook ING Lustrum Savings'!B3:B3989, 'Cashbook ING Lustrum Savings'!A3:A3989, "BG_LustrumSavingsExpense") + SUMIFS('Cashbook ING'!B3:B3966, 'Cashbook ING'!A3:A3966, "CurrenttoLustrum")</f>
        <v>0</v>
      </c>
      <c r="H5" s="197">
        <f>SUMIFS('Cashbook ING Lustrum Savings'!B3:B3989, 'Cashbook ING Lustrum Savings'!A3:A3989, "BG_LustrumSavingsIncome") + SUMIFS('Cashbook ING'!B3:B3966, 'Cashbook ING'!A3:A3966, "BG_LustrumSavingsIncome")</f>
        <v>0</v>
      </c>
      <c r="I5" s="194">
        <v>0</v>
      </c>
      <c r="J5" s="148">
        <f t="shared" si="0"/>
        <v>0</v>
      </c>
      <c r="K5" s="145">
        <f t="shared" si="1"/>
        <v>0</v>
      </c>
      <c r="L5" s="28"/>
      <c r="M5" s="28"/>
      <c r="N5" s="178"/>
      <c r="O5" s="182"/>
      <c r="P5" s="28"/>
      <c r="Q5" s="28"/>
      <c r="R5" s="28"/>
      <c r="S5" s="28"/>
      <c r="T5" s="28"/>
      <c r="U5" s="28"/>
      <c r="V5" s="28"/>
      <c r="W5" s="28"/>
      <c r="X5" s="28"/>
      <c r="Y5" s="28"/>
      <c r="Z5" s="28"/>
    </row>
    <row r="6" spans="1:26" ht="24.75" customHeight="1" x14ac:dyDescent="0.3">
      <c r="A6" s="617"/>
      <c r="B6" s="192" t="s">
        <v>465</v>
      </c>
      <c r="C6" s="193">
        <v>0</v>
      </c>
      <c r="D6" s="193">
        <v>0</v>
      </c>
      <c r="E6" s="194">
        <v>0</v>
      </c>
      <c r="F6" s="194">
        <f t="shared" si="2"/>
        <v>0</v>
      </c>
      <c r="G6" s="195">
        <f>SUMIFS('Cashbook ING Baseline Savings'!B3:B3989, 'Cashbook ING Baseline Savings'!A3:A3989, "BG_SavingsExpense") + SUMIFS('Cashbook ING'!B3:B3966, 'Cashbook ING'!A3:A3966, "CurrenttoBaseline")</f>
        <v>0</v>
      </c>
      <c r="H6" s="194">
        <f>SUMIFS('Cashbook ING Baseline Savings'!B3:B3989, 'Cashbook ING Baseline Savings'!A3:A3989, "BG_SavingsIncome") + SUMIFS('Cashbook ING'!B3:B3966, 'Cashbook ING'!A3:A3966, "BG_SavingsIncome")</f>
        <v>0</v>
      </c>
      <c r="I6" s="194">
        <v>0</v>
      </c>
      <c r="J6" s="148">
        <f t="shared" si="0"/>
        <v>0</v>
      </c>
      <c r="K6" s="145">
        <f t="shared" si="1"/>
        <v>0</v>
      </c>
      <c r="L6" s="28"/>
      <c r="M6" s="28"/>
      <c r="N6" s="178"/>
      <c r="O6" s="182"/>
      <c r="P6" s="28"/>
      <c r="Q6" s="28"/>
      <c r="R6" s="28"/>
      <c r="S6" s="28"/>
      <c r="T6" s="28"/>
      <c r="U6" s="28"/>
      <c r="V6" s="28"/>
      <c r="W6" s="28"/>
      <c r="X6" s="28"/>
      <c r="Y6" s="28"/>
      <c r="Z6" s="28"/>
    </row>
    <row r="7" spans="1:26" ht="24.75" customHeight="1" x14ac:dyDescent="0.3">
      <c r="A7" s="617"/>
      <c r="B7" s="192" t="s">
        <v>466</v>
      </c>
      <c r="C7" s="193">
        <v>200</v>
      </c>
      <c r="D7" s="193">
        <v>0</v>
      </c>
      <c r="E7" s="194">
        <v>0</v>
      </c>
      <c r="F7" s="194">
        <f t="shared" ref="F7:F28" si="3">D7+E7-C7</f>
        <v>-200</v>
      </c>
      <c r="G7" s="195">
        <f>SUMIFS('Cashbook ING'!B3:B3966, 'Cashbook ING'!A3:A3966, "BG_Sweaters")</f>
        <v>0</v>
      </c>
      <c r="H7" s="194">
        <f>SUMIFS('Cashbook Wix'!B2:B7073,'Cashbook Wix'!A2:A7073,"BG_Sweaters")</f>
        <v>0</v>
      </c>
      <c r="I7" s="194">
        <v>0</v>
      </c>
      <c r="J7" s="148">
        <f t="shared" si="0"/>
        <v>0</v>
      </c>
      <c r="K7" s="145">
        <f t="shared" si="1"/>
        <v>200</v>
      </c>
      <c r="L7" s="28"/>
      <c r="M7" s="28"/>
      <c r="N7" s="28"/>
      <c r="O7" s="28"/>
      <c r="P7" s="28"/>
      <c r="Q7" s="28"/>
      <c r="R7" s="28"/>
      <c r="S7" s="28"/>
      <c r="T7" s="28"/>
      <c r="U7" s="28"/>
      <c r="V7" s="28"/>
      <c r="W7" s="28"/>
      <c r="X7" s="28"/>
      <c r="Y7" s="28"/>
      <c r="Z7" s="28"/>
    </row>
    <row r="8" spans="1:26" ht="24.75" customHeight="1" x14ac:dyDescent="0.3">
      <c r="A8" s="617"/>
      <c r="B8" s="192" t="s">
        <v>467</v>
      </c>
      <c r="C8" s="193">
        <v>300</v>
      </c>
      <c r="D8" s="193">
        <v>0</v>
      </c>
      <c r="E8" s="194">
        <v>250</v>
      </c>
      <c r="F8" s="194">
        <f t="shared" si="3"/>
        <v>-50</v>
      </c>
      <c r="G8" s="195">
        <f>SUMIFS('Cashbook ING'!B3:B3966, 'Cashbook ING'!A3:A3966, "BG_OfficeSupplies")</f>
        <v>-25.27</v>
      </c>
      <c r="H8" s="194">
        <f>SUMIFS('Cashbook Wix'!B2:B7073,'Cashbook Wix'!A2:A7073,"BG_OfficeSupplies")</f>
        <v>0</v>
      </c>
      <c r="I8" s="194">
        <v>0</v>
      </c>
      <c r="J8" s="148">
        <f t="shared" si="0"/>
        <v>-25.27</v>
      </c>
      <c r="K8" s="145">
        <f t="shared" si="1"/>
        <v>24.73</v>
      </c>
      <c r="L8" s="28"/>
      <c r="M8" s="28"/>
      <c r="N8" s="28"/>
      <c r="O8" s="28"/>
      <c r="P8" s="28"/>
      <c r="Q8" s="28"/>
      <c r="R8" s="28"/>
      <c r="S8" s="28"/>
      <c r="T8" s="28"/>
      <c r="U8" s="28"/>
      <c r="V8" s="28"/>
      <c r="W8" s="28"/>
      <c r="X8" s="28"/>
      <c r="Y8" s="28"/>
      <c r="Z8" s="28"/>
    </row>
    <row r="9" spans="1:26" ht="24.75" customHeight="1" x14ac:dyDescent="0.3">
      <c r="A9" s="617"/>
      <c r="B9" s="192" t="s">
        <v>468</v>
      </c>
      <c r="C9" s="193">
        <v>0</v>
      </c>
      <c r="D9" s="193">
        <v>0</v>
      </c>
      <c r="E9" s="194">
        <v>0</v>
      </c>
      <c r="F9" s="194">
        <f t="shared" si="3"/>
        <v>0</v>
      </c>
      <c r="G9" s="195">
        <f>SUMIFS('Cashbook ING'!B3:B3967, 'Cashbook ING'!A3:A3967, "BG_")</f>
        <v>0</v>
      </c>
      <c r="H9" s="194">
        <f>SUMIFS('Cashbook ING'!B3:B6966, 'Cashbook ING'!A3:A6966, "BG_Sponsors")</f>
        <v>0</v>
      </c>
      <c r="I9" s="194">
        <v>0</v>
      </c>
      <c r="J9" s="148">
        <f t="shared" si="0"/>
        <v>0</v>
      </c>
      <c r="K9" s="145">
        <f t="shared" si="1"/>
        <v>0</v>
      </c>
      <c r="L9" s="28"/>
      <c r="M9" s="28"/>
      <c r="N9" s="28"/>
      <c r="O9" s="28"/>
      <c r="P9" s="28"/>
      <c r="Q9" s="28"/>
      <c r="R9" s="28"/>
      <c r="S9" s="28"/>
      <c r="T9" s="28"/>
      <c r="U9" s="28"/>
      <c r="V9" s="28"/>
      <c r="W9" s="28"/>
      <c r="X9" s="28"/>
      <c r="Y9" s="28"/>
      <c r="Z9" s="28"/>
    </row>
    <row r="10" spans="1:26" ht="24.75" customHeight="1" x14ac:dyDescent="0.3">
      <c r="A10" s="617"/>
      <c r="B10" s="192" t="s">
        <v>469</v>
      </c>
      <c r="C10" s="193">
        <v>150</v>
      </c>
      <c r="D10" s="193">
        <v>0</v>
      </c>
      <c r="E10" s="194">
        <v>150</v>
      </c>
      <c r="F10" s="194">
        <f t="shared" si="3"/>
        <v>0</v>
      </c>
      <c r="G10" s="195">
        <f>SUMIFS('Cashbook ING'!B3:B6966, 'Cashbook ING'!A3:A6966, "BG_Canva")</f>
        <v>-104.53</v>
      </c>
      <c r="H10" s="194">
        <f>SUMIFS('Cashbook Wix'!B2:B7073,'Cashbook Wix'!A2:A7073,"BG_Canva")</f>
        <v>0</v>
      </c>
      <c r="I10" s="193">
        <v>0</v>
      </c>
      <c r="J10" s="148">
        <f t="shared" si="0"/>
        <v>-104.53</v>
      </c>
      <c r="K10" s="145">
        <f t="shared" si="1"/>
        <v>-104.53</v>
      </c>
      <c r="L10" s="28"/>
      <c r="M10" s="28"/>
      <c r="N10" s="28"/>
      <c r="O10" s="28"/>
      <c r="P10" s="28"/>
      <c r="Q10" s="28"/>
      <c r="R10" s="28"/>
      <c r="S10" s="28"/>
      <c r="T10" s="28"/>
      <c r="U10" s="28"/>
      <c r="V10" s="28"/>
      <c r="W10" s="28"/>
      <c r="X10" s="28"/>
      <c r="Y10" s="28"/>
      <c r="Z10" s="28"/>
    </row>
    <row r="11" spans="1:26" ht="24.75" customHeight="1" x14ac:dyDescent="0.3">
      <c r="A11" s="617"/>
      <c r="B11" s="192" t="s">
        <v>470</v>
      </c>
      <c r="C11" s="193">
        <v>150</v>
      </c>
      <c r="D11" s="193">
        <v>0</v>
      </c>
      <c r="E11" s="194">
        <v>0</v>
      </c>
      <c r="F11" s="194">
        <f t="shared" si="3"/>
        <v>-150</v>
      </c>
      <c r="G11" s="195">
        <f>SUMIFS('Cashbook ING'!B3:B6966, 'Cashbook ING'!A3:A6966, "BG_Photos")</f>
        <v>0</v>
      </c>
      <c r="H11" s="194">
        <f>SUMIFS('Cashbook Wix'!B2:B7073,'Cashbook Wix'!A2:A7073,"BG_Photos")</f>
        <v>0</v>
      </c>
      <c r="I11" s="194">
        <v>0</v>
      </c>
      <c r="J11" s="148">
        <f t="shared" si="0"/>
        <v>0</v>
      </c>
      <c r="K11" s="145">
        <f t="shared" si="1"/>
        <v>150</v>
      </c>
      <c r="L11" s="28"/>
      <c r="M11" s="28"/>
      <c r="N11" s="28"/>
      <c r="O11" s="28"/>
      <c r="P11" s="28"/>
      <c r="Q11" s="28"/>
      <c r="R11" s="28"/>
      <c r="S11" s="28"/>
      <c r="T11" s="28"/>
      <c r="U11" s="28"/>
      <c r="V11" s="28"/>
      <c r="W11" s="28"/>
      <c r="X11" s="28"/>
      <c r="Y11" s="28"/>
      <c r="Z11" s="28"/>
    </row>
    <row r="12" spans="1:26" ht="24.75" customHeight="1" x14ac:dyDescent="0.3">
      <c r="A12" s="617"/>
      <c r="B12" s="192" t="s">
        <v>471</v>
      </c>
      <c r="C12" s="193">
        <v>220</v>
      </c>
      <c r="D12" s="193">
        <v>0</v>
      </c>
      <c r="E12" s="194">
        <v>220</v>
      </c>
      <c r="F12" s="194">
        <f t="shared" si="3"/>
        <v>0</v>
      </c>
      <c r="G12" s="195">
        <f>SUMIFS('Cashbook ING'!B3:B6966, 'Cashbook ING'!A3:A6966, "BG_Domain")</f>
        <v>-91.91</v>
      </c>
      <c r="H12" s="194">
        <f>SUMIFS('Cashbook Wix'!B2:B7073,'Cashbook Wix'!A2:A7073,"BG_Domain")</f>
        <v>0</v>
      </c>
      <c r="I12" s="194">
        <v>0</v>
      </c>
      <c r="J12" s="148">
        <f t="shared" si="0"/>
        <v>-91.91</v>
      </c>
      <c r="K12" s="145">
        <f t="shared" si="1"/>
        <v>-91.91</v>
      </c>
      <c r="L12" s="28"/>
      <c r="M12" s="28"/>
      <c r="N12" s="28"/>
      <c r="O12" s="28"/>
      <c r="P12" s="28"/>
      <c r="Q12" s="28"/>
      <c r="R12" s="28"/>
      <c r="S12" s="28"/>
      <c r="T12" s="28"/>
      <c r="U12" s="28"/>
      <c r="V12" s="28"/>
      <c r="W12" s="28"/>
      <c r="X12" s="28"/>
      <c r="Y12" s="28"/>
      <c r="Z12" s="28"/>
    </row>
    <row r="13" spans="1:26" ht="24.75" customHeight="1" x14ac:dyDescent="0.3">
      <c r="A13" s="617"/>
      <c r="B13" s="192" t="s">
        <v>472</v>
      </c>
      <c r="C13" s="193">
        <v>0</v>
      </c>
      <c r="D13" s="193">
        <v>250</v>
      </c>
      <c r="E13" s="194">
        <v>0</v>
      </c>
      <c r="F13" s="194">
        <f t="shared" si="3"/>
        <v>250</v>
      </c>
      <c r="G13" s="195">
        <v>0</v>
      </c>
      <c r="H13" s="194">
        <f>SUMIFS('Cashbook ING'!B3:B6966, 'Cashbook ING'!A3:A6966, "BG_DutchCourse")</f>
        <v>0</v>
      </c>
      <c r="I13" s="194">
        <v>0</v>
      </c>
      <c r="J13" s="148">
        <f t="shared" si="0"/>
        <v>0</v>
      </c>
      <c r="K13" s="145">
        <f t="shared" si="1"/>
        <v>-250</v>
      </c>
      <c r="L13" s="28"/>
      <c r="M13" s="28"/>
      <c r="N13" s="28"/>
      <c r="O13" s="28"/>
      <c r="P13" s="28"/>
      <c r="Q13" s="28"/>
      <c r="R13" s="28"/>
      <c r="S13" s="28"/>
      <c r="T13" s="28"/>
      <c r="U13" s="28"/>
      <c r="V13" s="28"/>
      <c r="W13" s="28"/>
      <c r="X13" s="28"/>
      <c r="Y13" s="28"/>
      <c r="Z13" s="28"/>
    </row>
    <row r="14" spans="1:26" ht="24.75" customHeight="1" x14ac:dyDescent="0.3">
      <c r="A14" s="617"/>
      <c r="B14" s="192" t="s">
        <v>473</v>
      </c>
      <c r="C14" s="193">
        <v>0</v>
      </c>
      <c r="D14" s="193">
        <v>0</v>
      </c>
      <c r="E14" s="194">
        <v>0</v>
      </c>
      <c r="F14" s="194">
        <f t="shared" si="3"/>
        <v>0</v>
      </c>
      <c r="G14" s="195">
        <f>SUMIFS('Cashbook ING'!B3:B6966, 'Cashbook ING'!A3:A6966, "BG_FirstAID")</f>
        <v>-375</v>
      </c>
      <c r="H14" s="194">
        <f>SUMIFS('Cashbook Wix'!B2:B7073,'Cashbook Wix'!A2:A7073,"BG_FirstAID")</f>
        <v>0</v>
      </c>
      <c r="I14" s="194">
        <v>0</v>
      </c>
      <c r="J14" s="148">
        <f t="shared" si="0"/>
        <v>-375</v>
      </c>
      <c r="K14" s="145">
        <f t="shared" si="1"/>
        <v>-375</v>
      </c>
      <c r="L14" s="28"/>
      <c r="M14" s="28"/>
      <c r="N14" s="28"/>
      <c r="O14" s="28"/>
      <c r="P14" s="28"/>
      <c r="Q14" s="28"/>
      <c r="R14" s="28"/>
      <c r="S14" s="28"/>
      <c r="T14" s="28"/>
      <c r="U14" s="28"/>
      <c r="V14" s="28"/>
      <c r="W14" s="28"/>
      <c r="X14" s="28"/>
      <c r="Y14" s="28"/>
      <c r="Z14" s="28"/>
    </row>
    <row r="15" spans="1:26" ht="24.75" customHeight="1" x14ac:dyDescent="0.3">
      <c r="A15" s="617"/>
      <c r="B15" s="192" t="s">
        <v>474</v>
      </c>
      <c r="C15" s="193">
        <v>50</v>
      </c>
      <c r="D15" s="193">
        <v>0</v>
      </c>
      <c r="E15" s="194">
        <v>0</v>
      </c>
      <c r="F15" s="194">
        <f t="shared" si="3"/>
        <v>-50</v>
      </c>
      <c r="G15" s="195">
        <v>0</v>
      </c>
      <c r="H15" s="194">
        <v>0</v>
      </c>
      <c r="I15" s="194">
        <v>0</v>
      </c>
      <c r="J15" s="148">
        <f t="shared" si="0"/>
        <v>0</v>
      </c>
      <c r="K15" s="145">
        <f t="shared" si="1"/>
        <v>50</v>
      </c>
      <c r="L15" s="28"/>
      <c r="M15" s="28"/>
      <c r="N15" s="28"/>
      <c r="O15" s="28"/>
      <c r="P15" s="28"/>
      <c r="Q15" s="28"/>
      <c r="R15" s="28"/>
      <c r="S15" s="28"/>
      <c r="T15" s="28"/>
      <c r="U15" s="28"/>
      <c r="V15" s="28"/>
      <c r="W15" s="28"/>
      <c r="X15" s="28"/>
      <c r="Y15" s="28"/>
      <c r="Z15" s="28"/>
    </row>
    <row r="16" spans="1:26" ht="24.75" customHeight="1" x14ac:dyDescent="0.3">
      <c r="A16" s="617"/>
      <c r="B16" s="192" t="s">
        <v>475</v>
      </c>
      <c r="C16" s="193">
        <v>650</v>
      </c>
      <c r="D16" s="193">
        <v>0</v>
      </c>
      <c r="E16" s="194">
        <v>550</v>
      </c>
      <c r="F16" s="194">
        <f t="shared" si="3"/>
        <v>-100</v>
      </c>
      <c r="G16" s="195">
        <v>0</v>
      </c>
      <c r="H16" s="194">
        <v>0</v>
      </c>
      <c r="I16" s="194">
        <v>0</v>
      </c>
      <c r="J16" s="148">
        <f t="shared" si="0"/>
        <v>0</v>
      </c>
      <c r="K16" s="145">
        <f t="shared" si="1"/>
        <v>100</v>
      </c>
      <c r="L16" s="28"/>
      <c r="M16" s="28"/>
      <c r="N16" s="28"/>
      <c r="O16" s="28"/>
      <c r="P16" s="28"/>
      <c r="Q16" s="28"/>
      <c r="R16" s="28"/>
      <c r="S16" s="28"/>
      <c r="T16" s="28"/>
      <c r="U16" s="28"/>
      <c r="V16" s="28"/>
      <c r="W16" s="28"/>
      <c r="X16" s="28"/>
      <c r="Y16" s="28"/>
      <c r="Z16" s="28"/>
    </row>
    <row r="17" spans="1:26" ht="24.75" customHeight="1" x14ac:dyDescent="0.3">
      <c r="A17" s="617"/>
      <c r="B17" s="192" t="s">
        <v>476</v>
      </c>
      <c r="C17" s="193">
        <v>0</v>
      </c>
      <c r="D17" s="193">
        <v>0</v>
      </c>
      <c r="E17" s="194">
        <v>0</v>
      </c>
      <c r="F17" s="194">
        <f t="shared" si="3"/>
        <v>0</v>
      </c>
      <c r="G17" s="195">
        <f>SUMIFS('Cashbook ING'!B3:B6966, 'Cashbook ING'!A3:A6966, "BG_BystanderTraining")</f>
        <v>0</v>
      </c>
      <c r="H17" s="194">
        <f>SUMIFS('Cashbook Wix'!B2:B7073,'Cashbook Wix'!A2:A7073,"BG_BystanderTraining")</f>
        <v>0</v>
      </c>
      <c r="I17" s="194">
        <v>0</v>
      </c>
      <c r="J17" s="148">
        <f t="shared" si="0"/>
        <v>0</v>
      </c>
      <c r="K17" s="145">
        <f t="shared" si="1"/>
        <v>0</v>
      </c>
      <c r="L17" s="28"/>
      <c r="M17" s="28"/>
      <c r="N17" s="28"/>
      <c r="O17" s="28"/>
      <c r="P17" s="28"/>
      <c r="Q17" s="28"/>
      <c r="R17" s="28"/>
      <c r="S17" s="28"/>
      <c r="T17" s="28"/>
      <c r="U17" s="28"/>
      <c r="V17" s="28"/>
      <c r="W17" s="28"/>
      <c r="X17" s="28"/>
      <c r="Y17" s="28"/>
      <c r="Z17" s="28"/>
    </row>
    <row r="18" spans="1:26" ht="24.75" customHeight="1" x14ac:dyDescent="0.3">
      <c r="A18" s="617"/>
      <c r="B18" s="192" t="s">
        <v>477</v>
      </c>
      <c r="C18" s="193">
        <v>40</v>
      </c>
      <c r="D18" s="193">
        <v>0</v>
      </c>
      <c r="E18" s="193">
        <v>25</v>
      </c>
      <c r="F18" s="194">
        <f t="shared" si="3"/>
        <v>-15</v>
      </c>
      <c r="G18" s="195">
        <f>SUMIFS('Cashbook ING'!B3:B6966, 'Cashbook ING'!A3:A6966, "BG_")</f>
        <v>0</v>
      </c>
      <c r="H18" s="194">
        <f>SUMIFS('Cashbook Wix'!B2:B7073,'Cashbook Wix'!A2:A7073,"BG_")</f>
        <v>0</v>
      </c>
      <c r="I18" s="194">
        <v>0</v>
      </c>
      <c r="J18" s="148">
        <f t="shared" si="0"/>
        <v>0</v>
      </c>
      <c r="K18" s="145">
        <f t="shared" si="1"/>
        <v>15</v>
      </c>
      <c r="L18" s="28"/>
      <c r="M18" s="28"/>
      <c r="N18" s="28"/>
      <c r="O18" s="28"/>
      <c r="P18" s="28"/>
      <c r="Q18" s="28"/>
      <c r="R18" s="28"/>
      <c r="S18" s="28"/>
      <c r="T18" s="28"/>
      <c r="U18" s="28"/>
      <c r="V18" s="28"/>
      <c r="W18" s="28"/>
      <c r="X18" s="28"/>
      <c r="Y18" s="28"/>
      <c r="Z18" s="28"/>
    </row>
    <row r="19" spans="1:26" ht="24.75" customHeight="1" x14ac:dyDescent="0.3">
      <c r="A19" s="617"/>
      <c r="B19" s="192" t="s">
        <v>478</v>
      </c>
      <c r="C19" s="193">
        <v>475</v>
      </c>
      <c r="D19" s="193">
        <v>0</v>
      </c>
      <c r="E19" s="194">
        <v>425</v>
      </c>
      <c r="F19" s="194">
        <f t="shared" si="3"/>
        <v>-50</v>
      </c>
      <c r="G19" s="195">
        <f>SUMIFS('Cashbook ING'!B3:B6966, 'Cashbook ING'!A3:A6966, "BG_INGTransactionCosts")</f>
        <v>-156.93</v>
      </c>
      <c r="H19" s="194">
        <f>SUMIFS('Cashbook Wix'!B2:B7073,'Cashbook Wix'!A2:A7073,"BG_INGTransactionCosts")</f>
        <v>0</v>
      </c>
      <c r="I19" s="194">
        <v>0</v>
      </c>
      <c r="J19" s="148">
        <f t="shared" si="0"/>
        <v>-156.93</v>
      </c>
      <c r="K19" s="145">
        <f t="shared" si="1"/>
        <v>-106.93</v>
      </c>
      <c r="L19" s="28"/>
      <c r="M19" s="28"/>
      <c r="N19" s="28"/>
      <c r="O19" s="28"/>
      <c r="P19" s="28"/>
      <c r="Q19" s="28"/>
      <c r="R19" s="28"/>
      <c r="S19" s="28"/>
      <c r="T19" s="28"/>
      <c r="U19" s="28"/>
      <c r="V19" s="28"/>
      <c r="W19" s="28"/>
      <c r="X19" s="28"/>
      <c r="Y19" s="28"/>
      <c r="Z19" s="28"/>
    </row>
    <row r="20" spans="1:26" ht="24.75" customHeight="1" x14ac:dyDescent="0.3">
      <c r="A20" s="617"/>
      <c r="B20" s="192" t="s">
        <v>479</v>
      </c>
      <c r="C20" s="193">
        <v>100</v>
      </c>
      <c r="D20" s="193">
        <v>0</v>
      </c>
      <c r="E20" s="194">
        <v>0</v>
      </c>
      <c r="F20" s="194">
        <f t="shared" si="3"/>
        <v>-100</v>
      </c>
      <c r="G20" s="195">
        <f>SUMIFS('Cashbook ING'!B3:B6967, 'Cashbook ING'!A3:A6967, "BG_OldBoardAppreciation")</f>
        <v>0</v>
      </c>
      <c r="H20" s="194">
        <v>0</v>
      </c>
      <c r="I20" s="194">
        <v>0</v>
      </c>
      <c r="J20" s="148">
        <f t="shared" si="0"/>
        <v>0</v>
      </c>
      <c r="K20" s="145">
        <f t="shared" si="1"/>
        <v>100</v>
      </c>
      <c r="L20" s="28"/>
      <c r="M20" s="28"/>
      <c r="N20" s="28"/>
      <c r="O20" s="28"/>
      <c r="P20" s="28"/>
      <c r="Q20" s="28"/>
      <c r="R20" s="28"/>
      <c r="S20" s="28"/>
      <c r="T20" s="28"/>
      <c r="U20" s="28"/>
      <c r="V20" s="28"/>
      <c r="W20" s="28"/>
      <c r="X20" s="28"/>
      <c r="Y20" s="28"/>
      <c r="Z20" s="28"/>
    </row>
    <row r="21" spans="1:26" ht="24.75" customHeight="1" x14ac:dyDescent="0.3">
      <c r="A21" s="617"/>
      <c r="B21" s="192" t="s">
        <v>480</v>
      </c>
      <c r="C21" s="193">
        <v>3000</v>
      </c>
      <c r="D21" s="193">
        <v>0</v>
      </c>
      <c r="E21" s="198">
        <v>0</v>
      </c>
      <c r="F21" s="194">
        <f t="shared" si="3"/>
        <v>-3000</v>
      </c>
      <c r="G21" s="195">
        <f>SUMIFS('Cashbook ING'!B3:B6966, 'Cashbook ING'!A3:A6966, "BG_Lustrum")</f>
        <v>0</v>
      </c>
      <c r="H21" s="194">
        <f>SUMIFS('Cashbook Wix'!B2:B7073,'Cashbook Wix'!A2:A7073,"BG_Lustrum")</f>
        <v>0</v>
      </c>
      <c r="I21" s="194">
        <v>0</v>
      </c>
      <c r="J21" s="148">
        <f t="shared" si="0"/>
        <v>0</v>
      </c>
      <c r="K21" s="145">
        <f t="shared" si="1"/>
        <v>3000</v>
      </c>
      <c r="L21" s="28"/>
      <c r="M21" s="28"/>
      <c r="N21" s="28"/>
      <c r="O21" s="28"/>
      <c r="P21" s="28"/>
      <c r="Q21" s="28"/>
      <c r="R21" s="28"/>
      <c r="S21" s="28"/>
      <c r="T21" s="28"/>
      <c r="U21" s="28"/>
      <c r="V21" s="28"/>
      <c r="W21" s="28"/>
      <c r="X21" s="28"/>
      <c r="Y21" s="28"/>
      <c r="Z21" s="28"/>
    </row>
    <row r="22" spans="1:26" ht="24.75" customHeight="1" x14ac:dyDescent="0.3">
      <c r="A22" s="617"/>
      <c r="B22" s="192" t="s">
        <v>481</v>
      </c>
      <c r="C22" s="193">
        <v>363</v>
      </c>
      <c r="D22" s="193">
        <v>0</v>
      </c>
      <c r="E22" s="194">
        <v>360</v>
      </c>
      <c r="F22" s="194">
        <f t="shared" si="3"/>
        <v>-3</v>
      </c>
      <c r="G22" s="195">
        <f>SUMIFS('Cashbook ING'!B3:B6966, 'Cashbook ING'!A3:A6966, "BG_Moneybird")</f>
        <v>-98.009999999999991</v>
      </c>
      <c r="H22" s="194">
        <f>SUMIFS('Cashbook Wix'!B2:B7073,'Cashbook Wix'!A2:A7073,"BG_Moneybird")</f>
        <v>0</v>
      </c>
      <c r="I22" s="194">
        <v>0</v>
      </c>
      <c r="J22" s="148">
        <f t="shared" si="0"/>
        <v>-98.009999999999991</v>
      </c>
      <c r="K22" s="145">
        <f t="shared" si="1"/>
        <v>-95.009999999999991</v>
      </c>
      <c r="L22" s="28"/>
      <c r="M22" s="28"/>
      <c r="N22" s="28"/>
      <c r="O22" s="28"/>
      <c r="P22" s="28"/>
      <c r="Q22" s="28"/>
      <c r="R22" s="28"/>
      <c r="S22" s="28"/>
      <c r="T22" s="28"/>
      <c r="U22" s="28"/>
      <c r="V22" s="28"/>
      <c r="W22" s="28"/>
      <c r="X22" s="28"/>
      <c r="Y22" s="28"/>
      <c r="Z22" s="28"/>
    </row>
    <row r="23" spans="1:26" ht="24.75" customHeight="1" x14ac:dyDescent="0.3">
      <c r="A23" s="617"/>
      <c r="B23" s="192" t="s">
        <v>482</v>
      </c>
      <c r="C23" s="193">
        <v>200</v>
      </c>
      <c r="D23" s="193">
        <v>0</v>
      </c>
      <c r="E23" s="194">
        <v>200</v>
      </c>
      <c r="F23" s="194">
        <f t="shared" si="3"/>
        <v>0</v>
      </c>
      <c r="G23" s="195">
        <f>SUMIFS('Cashbook ING'!B3:B6966, 'Cashbook ING'!A3:A6966, "BG_Transportation")</f>
        <v>0</v>
      </c>
      <c r="H23" s="194">
        <f>SUMIFS('Cashbook Wix'!B2:B7073,'Cashbook Wix'!A2:A7073,"BG_Transportation")</f>
        <v>0</v>
      </c>
      <c r="I23" s="194">
        <v>0</v>
      </c>
      <c r="J23" s="148">
        <f t="shared" si="0"/>
        <v>0</v>
      </c>
      <c r="K23" s="145">
        <f t="shared" si="1"/>
        <v>0</v>
      </c>
      <c r="L23" s="28"/>
      <c r="M23" s="28"/>
      <c r="N23" s="28"/>
      <c r="O23" s="28"/>
      <c r="P23" s="28"/>
      <c r="Q23" s="28"/>
      <c r="R23" s="28"/>
      <c r="S23" s="28"/>
      <c r="T23" s="28"/>
      <c r="U23" s="28"/>
      <c r="V23" s="28"/>
      <c r="W23" s="28"/>
      <c r="X23" s="28"/>
      <c r="Y23" s="28"/>
      <c r="Z23" s="28"/>
    </row>
    <row r="24" spans="1:26" ht="24.75" customHeight="1" x14ac:dyDescent="0.3">
      <c r="A24" s="617"/>
      <c r="B24" s="192" t="s">
        <v>483</v>
      </c>
      <c r="C24" s="193">
        <v>2500</v>
      </c>
      <c r="D24" s="193">
        <v>0</v>
      </c>
      <c r="E24" s="194">
        <v>0</v>
      </c>
      <c r="F24" s="194">
        <f t="shared" si="3"/>
        <v>-2500</v>
      </c>
      <c r="G24" s="195">
        <f>SUMIFS('Cashbook ING'!B1:B6965, 'Cashbook ING'!A1:A6965, "BG_Unforeseen_Cost")</f>
        <v>-622.66</v>
      </c>
      <c r="H24" s="194">
        <v>0</v>
      </c>
      <c r="I24" s="194">
        <v>0</v>
      </c>
      <c r="J24" s="148">
        <f t="shared" si="0"/>
        <v>-622.66</v>
      </c>
      <c r="K24" s="145">
        <f t="shared" si="1"/>
        <v>1877.3400000000001</v>
      </c>
      <c r="L24" s="28"/>
      <c r="M24" s="28"/>
      <c r="N24" s="28"/>
      <c r="O24" s="28"/>
      <c r="P24" s="28"/>
      <c r="Q24" s="28"/>
      <c r="R24" s="28"/>
      <c r="S24" s="28"/>
      <c r="T24" s="28"/>
      <c r="U24" s="28"/>
      <c r="V24" s="28"/>
      <c r="W24" s="28"/>
      <c r="X24" s="28"/>
      <c r="Y24" s="28"/>
      <c r="Z24" s="28"/>
    </row>
    <row r="25" spans="1:26" ht="24.75" customHeight="1" x14ac:dyDescent="0.3">
      <c r="A25" s="617"/>
      <c r="B25" s="192" t="s">
        <v>484</v>
      </c>
      <c r="C25" s="193">
        <v>0</v>
      </c>
      <c r="D25" s="193">
        <v>0</v>
      </c>
      <c r="E25" s="194">
        <v>0</v>
      </c>
      <c r="F25" s="194">
        <f t="shared" si="3"/>
        <v>0</v>
      </c>
      <c r="G25" s="195">
        <v>0</v>
      </c>
      <c r="H25" s="194">
        <f>SUMIFS('Cashbook ING'!B3:B6966,'Cashbook ING'!A3:A6966,"BG_Unforeseen_Income")+SUMIFS('Cashbook Wix'!$B$2:$B$7106,'Cashbook Wix'!$A$2:$A$7106,"BG_Unforeseen_Income")</f>
        <v>275.83000000000004</v>
      </c>
      <c r="I25" s="194">
        <v>0</v>
      </c>
      <c r="J25" s="148">
        <f t="shared" si="0"/>
        <v>275.83000000000004</v>
      </c>
      <c r="K25" s="145">
        <f t="shared" si="1"/>
        <v>275.83000000000004</v>
      </c>
      <c r="L25" s="28"/>
      <c r="M25" s="28"/>
      <c r="N25" s="28"/>
      <c r="O25" s="28"/>
      <c r="P25" s="28"/>
      <c r="Q25" s="28"/>
      <c r="R25" s="28"/>
      <c r="S25" s="28"/>
      <c r="T25" s="28"/>
      <c r="U25" s="28"/>
      <c r="V25" s="28"/>
      <c r="W25" s="28"/>
      <c r="X25" s="28"/>
      <c r="Y25" s="28"/>
      <c r="Z25" s="28"/>
    </row>
    <row r="26" spans="1:26" ht="24.75" customHeight="1" x14ac:dyDescent="0.3">
      <c r="A26" s="617"/>
      <c r="B26" s="192" t="s">
        <v>485</v>
      </c>
      <c r="C26" s="193">
        <v>100</v>
      </c>
      <c r="D26" s="193">
        <v>0</v>
      </c>
      <c r="E26" s="194">
        <v>100</v>
      </c>
      <c r="F26" s="194">
        <f t="shared" si="3"/>
        <v>0</v>
      </c>
      <c r="G26" s="195">
        <f>SUMIFS('Cashbook ING'!B3:B6966, 'Cashbook ING'!A3:A6966, "BG_ExcelCourse")</f>
        <v>0</v>
      </c>
      <c r="H26" s="194">
        <f>SUMIFS('Cashbook Wix'!B2:B7073,'Cashbook Wix'!A2:A7073,"BG_ExcelCourse")</f>
        <v>0</v>
      </c>
      <c r="I26" s="194">
        <v>0</v>
      </c>
      <c r="J26" s="148">
        <f t="shared" si="0"/>
        <v>0</v>
      </c>
      <c r="K26" s="145">
        <f t="shared" si="1"/>
        <v>0</v>
      </c>
      <c r="L26" s="28"/>
      <c r="M26" s="28"/>
      <c r="N26" s="28"/>
      <c r="O26" s="28"/>
      <c r="P26" s="28"/>
      <c r="Q26" s="28"/>
      <c r="R26" s="28"/>
      <c r="S26" s="28"/>
      <c r="T26" s="28"/>
      <c r="U26" s="28"/>
      <c r="V26" s="28"/>
      <c r="W26" s="28"/>
      <c r="X26" s="28"/>
      <c r="Y26" s="28"/>
      <c r="Z26" s="28"/>
    </row>
    <row r="27" spans="1:26" ht="24.75" customHeight="1" x14ac:dyDescent="0.3">
      <c r="A27" s="617"/>
      <c r="B27" s="192" t="s">
        <v>486</v>
      </c>
      <c r="C27" s="194">
        <v>350</v>
      </c>
      <c r="D27" s="194">
        <v>0</v>
      </c>
      <c r="E27" s="194">
        <v>350</v>
      </c>
      <c r="F27" s="194">
        <f t="shared" si="3"/>
        <v>0</v>
      </c>
      <c r="G27" s="195">
        <f>SUMIFS('Cashbook ING'!B3:B6967, 'Cashbook ING'!A3:A6967, "BG_WixEmail")</f>
        <v>0</v>
      </c>
      <c r="H27" s="194">
        <f>SUMIFS('Cashbook Wix'!B2:B7074,'Cashbook Wix'!A2:A7074,"BG_WixEmail")</f>
        <v>0</v>
      </c>
      <c r="I27" s="194">
        <v>0</v>
      </c>
      <c r="J27" s="148">
        <f t="shared" si="0"/>
        <v>0</v>
      </c>
      <c r="K27" s="145">
        <f t="shared" si="1"/>
        <v>0</v>
      </c>
      <c r="L27" s="28"/>
      <c r="M27" s="28"/>
      <c r="N27" s="28"/>
      <c r="O27" s="28"/>
      <c r="P27" s="28"/>
      <c r="Q27" s="28"/>
      <c r="R27" s="28"/>
      <c r="S27" s="28"/>
      <c r="T27" s="28"/>
      <c r="U27" s="28"/>
      <c r="V27" s="28"/>
      <c r="W27" s="28"/>
      <c r="X27" s="28"/>
      <c r="Y27" s="28"/>
      <c r="Z27" s="28"/>
    </row>
    <row r="28" spans="1:26" ht="24.75" customHeight="1" x14ac:dyDescent="0.3">
      <c r="A28" s="617"/>
      <c r="B28" s="192" t="s">
        <v>487</v>
      </c>
      <c r="C28" s="178">
        <v>400</v>
      </c>
      <c r="D28" s="194">
        <v>0</v>
      </c>
      <c r="E28" s="194">
        <v>400</v>
      </c>
      <c r="F28" s="194">
        <f t="shared" si="3"/>
        <v>0</v>
      </c>
      <c r="G28" s="195">
        <f>SUMIFS('Cashbook ING'!B3:B6966, 'Cashbook ING'!A3:A6966, "BG_Wix")</f>
        <v>-363</v>
      </c>
      <c r="H28" s="194">
        <f>SUMIFS('Cashbook Wix'!B2:B7075,'Cashbook Wix'!A2:A7075,"BG_Wix")</f>
        <v>0</v>
      </c>
      <c r="I28" s="193">
        <v>0</v>
      </c>
      <c r="J28" s="148">
        <f t="shared" si="0"/>
        <v>-363</v>
      </c>
      <c r="K28" s="145">
        <f t="shared" si="1"/>
        <v>-363</v>
      </c>
      <c r="L28" s="28"/>
      <c r="M28" s="28"/>
      <c r="N28" s="28"/>
      <c r="O28" s="28"/>
      <c r="P28" s="28"/>
      <c r="Q28" s="28"/>
      <c r="R28" s="28"/>
      <c r="S28" s="28"/>
      <c r="T28" s="28"/>
      <c r="U28" s="28"/>
      <c r="V28" s="28"/>
      <c r="W28" s="28"/>
      <c r="X28" s="28"/>
      <c r="Y28" s="28"/>
      <c r="Z28" s="28"/>
    </row>
    <row r="29" spans="1:26" ht="24.75" customHeight="1" x14ac:dyDescent="0.35">
      <c r="A29" s="607"/>
      <c r="B29" s="199" t="s">
        <v>488</v>
      </c>
      <c r="C29" s="200">
        <f t="shared" ref="C29:K29" si="4">SUM(C3:C28)</f>
        <v>9268</v>
      </c>
      <c r="D29" s="200">
        <f t="shared" si="4"/>
        <v>6036.48</v>
      </c>
      <c r="E29" s="200">
        <f t="shared" si="4"/>
        <v>3050</v>
      </c>
      <c r="F29" s="200">
        <f t="shared" si="4"/>
        <v>-181.52000000000044</v>
      </c>
      <c r="G29" s="201">
        <f t="shared" si="4"/>
        <v>-3052.8900000000003</v>
      </c>
      <c r="H29" s="200">
        <f t="shared" si="4"/>
        <v>1947.9</v>
      </c>
      <c r="I29" s="200">
        <f t="shared" si="4"/>
        <v>0</v>
      </c>
      <c r="J29" s="202">
        <f t="shared" si="4"/>
        <v>-1104.9899999999998</v>
      </c>
      <c r="K29" s="203">
        <f t="shared" si="4"/>
        <v>-923.47000000000014</v>
      </c>
      <c r="L29" s="204"/>
      <c r="M29" s="204"/>
      <c r="N29" s="204"/>
      <c r="O29" s="204"/>
      <c r="P29" s="204"/>
      <c r="Q29" s="204"/>
      <c r="R29" s="204"/>
      <c r="S29" s="204"/>
      <c r="T29" s="204"/>
      <c r="U29" s="204"/>
      <c r="V29" s="204"/>
      <c r="W29" s="204"/>
      <c r="X29" s="204"/>
      <c r="Y29" s="204"/>
      <c r="Z29" s="204"/>
    </row>
    <row r="30" spans="1:26" ht="24.75" customHeight="1" x14ac:dyDescent="0.3">
      <c r="A30" s="616" t="s">
        <v>489</v>
      </c>
      <c r="B30" s="205" t="s">
        <v>490</v>
      </c>
      <c r="C30" s="193">
        <v>250</v>
      </c>
      <c r="D30" s="194">
        <v>0</v>
      </c>
      <c r="E30" s="194">
        <v>200</v>
      </c>
      <c r="F30" s="194">
        <f t="shared" ref="F30:F40" si="5">D30+E30-C30</f>
        <v>-50</v>
      </c>
      <c r="G30" s="195">
        <f>SUMIFS('Cashbook ING'!B3:B6966, 'Cashbook ING'!A3:A6966, "BE_AssociationMeetings")</f>
        <v>-14.5</v>
      </c>
      <c r="H30" s="194">
        <f>SUMIFS('Cashbook Wix'!$B$2:$B$7073,'Cashbook Wix'!$A$2:$A$7073,"BE_Meetings")</f>
        <v>0</v>
      </c>
      <c r="I30" s="194">
        <v>0</v>
      </c>
      <c r="J30" s="148">
        <f t="shared" ref="J30:J40" si="6">H30+I30+G30</f>
        <v>-14.5</v>
      </c>
      <c r="K30" s="145">
        <f t="shared" ref="K30:K40" si="7">J30-F30</f>
        <v>35.5</v>
      </c>
      <c r="L30" s="28"/>
      <c r="M30" s="28"/>
      <c r="N30" s="28"/>
      <c r="O30" s="28"/>
      <c r="P30" s="28"/>
      <c r="Q30" s="28"/>
      <c r="R30" s="28"/>
      <c r="S30" s="28"/>
      <c r="T30" s="28"/>
      <c r="U30" s="28"/>
      <c r="V30" s="28"/>
      <c r="W30" s="28"/>
      <c r="X30" s="28"/>
      <c r="Y30" s="28"/>
      <c r="Z30" s="28"/>
    </row>
    <row r="31" spans="1:26" ht="24.75" customHeight="1" x14ac:dyDescent="0.3">
      <c r="A31" s="617"/>
      <c r="B31" s="205" t="s">
        <v>491</v>
      </c>
      <c r="C31" s="193">
        <v>750</v>
      </c>
      <c r="D31" s="194">
        <v>0</v>
      </c>
      <c r="E31" s="194">
        <v>700</v>
      </c>
      <c r="F31" s="194">
        <f t="shared" si="5"/>
        <v>-50</v>
      </c>
      <c r="G31" s="195">
        <f>SUMIFS('Cashbook ING'!B3:B6966, 'Cashbook ING'!A3:A6966, "BE_Weekend_Nov")</f>
        <v>0</v>
      </c>
      <c r="H31" s="194">
        <f>SUMIFS('Cashbook Wix'!$B$2:$B$7073,'Cashbook Wix'!$A$2:$A$7073,"BE_Weekend_Oct")</f>
        <v>0</v>
      </c>
      <c r="I31" s="194">
        <v>0</v>
      </c>
      <c r="J31" s="148">
        <f t="shared" si="6"/>
        <v>0</v>
      </c>
      <c r="K31" s="145">
        <f t="shared" si="7"/>
        <v>50</v>
      </c>
      <c r="L31" s="28"/>
      <c r="M31" s="28"/>
      <c r="N31" s="28"/>
      <c r="O31" s="28"/>
      <c r="P31" s="28"/>
      <c r="Q31" s="28"/>
      <c r="R31" s="28"/>
      <c r="S31" s="28"/>
      <c r="T31" s="28"/>
      <c r="U31" s="28"/>
      <c r="V31" s="28"/>
      <c r="W31" s="28"/>
      <c r="X31" s="28"/>
      <c r="Y31" s="28"/>
      <c r="Z31" s="28"/>
    </row>
    <row r="32" spans="1:26" ht="24.75" customHeight="1" x14ac:dyDescent="0.3">
      <c r="A32" s="617"/>
      <c r="B32" s="205" t="s">
        <v>492</v>
      </c>
      <c r="C32" s="193">
        <v>750</v>
      </c>
      <c r="D32" s="194">
        <v>0</v>
      </c>
      <c r="E32" s="194">
        <v>700</v>
      </c>
      <c r="F32" s="194">
        <f t="shared" si="5"/>
        <v>-50</v>
      </c>
      <c r="G32" s="195">
        <f>SUMIFS('Cashbook ING'!B3:B6966, 'Cashbook ING'!A3:A6966, "BE_Weekend_Jan")</f>
        <v>0</v>
      </c>
      <c r="H32" s="194">
        <f>SUMIFS('Cashbook Wix'!$B$2:$B$7073,'Cashbook Wix'!$A$2:$A$7073,"BE_Weekend_Jan")</f>
        <v>0</v>
      </c>
      <c r="I32" s="194">
        <v>0</v>
      </c>
      <c r="J32" s="148">
        <f t="shared" si="6"/>
        <v>0</v>
      </c>
      <c r="K32" s="145">
        <f t="shared" si="7"/>
        <v>50</v>
      </c>
      <c r="L32" s="28"/>
      <c r="M32" s="28"/>
      <c r="N32" s="28"/>
      <c r="O32" s="28"/>
      <c r="P32" s="28"/>
      <c r="Q32" s="28"/>
      <c r="R32" s="28"/>
      <c r="S32" s="28"/>
      <c r="T32" s="28"/>
      <c r="U32" s="28"/>
      <c r="V32" s="28"/>
      <c r="W32" s="28"/>
      <c r="X32" s="28"/>
      <c r="Y32" s="28"/>
      <c r="Z32" s="28"/>
    </row>
    <row r="33" spans="1:26" ht="24.75" customHeight="1" x14ac:dyDescent="0.3">
      <c r="A33" s="617"/>
      <c r="B33" s="205" t="s">
        <v>493</v>
      </c>
      <c r="C33" s="193">
        <v>750</v>
      </c>
      <c r="D33" s="194">
        <v>0</v>
      </c>
      <c r="E33" s="194">
        <v>700</v>
      </c>
      <c r="F33" s="194">
        <f t="shared" si="5"/>
        <v>-50</v>
      </c>
      <c r="G33" s="195">
        <f>SUMIFS('Cashbook ING'!B3:B6966, 'Cashbook ING'!A3:A6966, "BE_Weekend_May")</f>
        <v>0</v>
      </c>
      <c r="H33" s="194">
        <f>SUMIFS('Cashbook Wix'!$B$2:$B$7073,'Cashbook Wix'!$A$2:$A$7073,"BE_Weekend_May")</f>
        <v>0</v>
      </c>
      <c r="I33" s="194">
        <v>0</v>
      </c>
      <c r="J33" s="148">
        <f t="shared" si="6"/>
        <v>0</v>
      </c>
      <c r="K33" s="145">
        <f t="shared" si="7"/>
        <v>50</v>
      </c>
      <c r="L33" s="28"/>
      <c r="M33" s="28"/>
      <c r="N33" s="28"/>
      <c r="O33" s="28"/>
      <c r="P33" s="28"/>
      <c r="Q33" s="28"/>
      <c r="R33" s="28"/>
      <c r="S33" s="28"/>
      <c r="T33" s="28"/>
      <c r="U33" s="28"/>
      <c r="V33" s="28"/>
      <c r="W33" s="28"/>
      <c r="X33" s="28"/>
      <c r="Y33" s="28"/>
      <c r="Z33" s="28"/>
    </row>
    <row r="34" spans="1:26" ht="24.75" customHeight="1" x14ac:dyDescent="0.3">
      <c r="A34" s="617"/>
      <c r="B34" s="205" t="s">
        <v>494</v>
      </c>
      <c r="C34" s="193">
        <v>1000</v>
      </c>
      <c r="D34" s="194">
        <v>0</v>
      </c>
      <c r="E34" s="194">
        <v>900</v>
      </c>
      <c r="F34" s="194">
        <f t="shared" si="5"/>
        <v>-100</v>
      </c>
      <c r="G34" s="195">
        <f>SUMIFS('Cashbook ING'!B3:B6966, 'Cashbook ING'!A3:A6966, "BE_Weekend_Transition")</f>
        <v>0</v>
      </c>
      <c r="H34" s="194">
        <f>SUMIFS('Cashbook ING'!B3:B6966, 'Cashbook ING'!A3:A6966, "BE_Weekend_TransitionIncome")</f>
        <v>0</v>
      </c>
      <c r="I34" s="194">
        <v>0</v>
      </c>
      <c r="J34" s="148">
        <f t="shared" si="6"/>
        <v>0</v>
      </c>
      <c r="K34" s="145">
        <f t="shared" si="7"/>
        <v>100</v>
      </c>
      <c r="L34" s="28"/>
      <c r="M34" s="28"/>
      <c r="N34" s="28"/>
      <c r="O34" s="28"/>
      <c r="P34" s="28"/>
      <c r="Q34" s="28"/>
      <c r="R34" s="28"/>
      <c r="S34" s="28"/>
      <c r="T34" s="28"/>
      <c r="U34" s="28"/>
      <c r="V34" s="28"/>
      <c r="W34" s="28"/>
      <c r="X34" s="28"/>
      <c r="Y34" s="28"/>
      <c r="Z34" s="28"/>
    </row>
    <row r="35" spans="1:26" ht="24.75" customHeight="1" x14ac:dyDescent="0.3">
      <c r="A35" s="617"/>
      <c r="B35" s="205" t="s">
        <v>495</v>
      </c>
      <c r="C35" s="193">
        <v>750</v>
      </c>
      <c r="D35" s="194">
        <v>0</v>
      </c>
      <c r="E35" s="194">
        <v>600</v>
      </c>
      <c r="F35" s="194">
        <f t="shared" si="5"/>
        <v>-150</v>
      </c>
      <c r="G35" s="195">
        <f>SUMIFS('Cashbook ING'!B3:B6966, 'Cashbook ING'!A3:A6966, "BE_COBO2025")</f>
        <v>-938.5</v>
      </c>
      <c r="H35" s="194">
        <v>0</v>
      </c>
      <c r="I35" s="194">
        <v>0</v>
      </c>
      <c r="J35" s="148">
        <f t="shared" si="6"/>
        <v>-938.5</v>
      </c>
      <c r="K35" s="145">
        <f t="shared" si="7"/>
        <v>-788.5</v>
      </c>
      <c r="L35" s="28"/>
      <c r="M35" s="28"/>
      <c r="N35" s="28"/>
      <c r="O35" s="28"/>
      <c r="P35" s="28"/>
      <c r="Q35" s="28"/>
      <c r="R35" s="28"/>
      <c r="S35" s="28"/>
      <c r="T35" s="28"/>
      <c r="U35" s="28"/>
      <c r="V35" s="28"/>
      <c r="W35" s="28"/>
      <c r="X35" s="28"/>
      <c r="Y35" s="28"/>
      <c r="Z35" s="28"/>
    </row>
    <row r="36" spans="1:26" ht="24.75" customHeight="1" x14ac:dyDescent="0.3">
      <c r="A36" s="617"/>
      <c r="B36" s="205" t="s">
        <v>496</v>
      </c>
      <c r="C36" s="193">
        <v>500</v>
      </c>
      <c r="D36" s="194">
        <v>0</v>
      </c>
      <c r="E36" s="194">
        <v>0</v>
      </c>
      <c r="F36" s="194">
        <f t="shared" si="5"/>
        <v>-500</v>
      </c>
      <c r="G36" s="195">
        <f>SUMIFS('Cashbook ING'!B3:B6966, 'Cashbook ING'!A3:A6966, "BE_Committee_Appreciation")</f>
        <v>-568.9</v>
      </c>
      <c r="H36" s="194">
        <f>SUMIFS('Cashbook ING'!B3:B6966, 'Cashbook ING'!A3:A6966, "BE_Committee_Appreciation_Income")</f>
        <v>251.4</v>
      </c>
      <c r="I36" s="194">
        <v>0</v>
      </c>
      <c r="J36" s="148">
        <f t="shared" si="6"/>
        <v>-317.5</v>
      </c>
      <c r="K36" s="145">
        <f t="shared" si="7"/>
        <v>182.5</v>
      </c>
      <c r="L36" s="28"/>
      <c r="M36" s="28"/>
      <c r="N36" s="28"/>
      <c r="O36" s="28"/>
      <c r="P36" s="28"/>
      <c r="Q36" s="28"/>
      <c r="R36" s="28"/>
      <c r="S36" s="28"/>
      <c r="T36" s="28"/>
      <c r="U36" s="28"/>
      <c r="V36" s="28"/>
      <c r="W36" s="28"/>
      <c r="X36" s="28"/>
      <c r="Y36" s="28"/>
      <c r="Z36" s="28"/>
    </row>
    <row r="37" spans="1:26" ht="24.75" customHeight="1" x14ac:dyDescent="0.3">
      <c r="A37" s="617"/>
      <c r="B37" s="205" t="s">
        <v>497</v>
      </c>
      <c r="C37" s="193">
        <v>75</v>
      </c>
      <c r="D37" s="194">
        <v>0</v>
      </c>
      <c r="E37" s="194">
        <v>0</v>
      </c>
      <c r="F37" s="194">
        <f t="shared" si="5"/>
        <v>-75</v>
      </c>
      <c r="G37" s="195">
        <f>SUMIFS('Cashbook ING'!B3:B6966, 'Cashbook ING'!A3:A6966, "BE_Committee_Workshop")</f>
        <v>-34.17</v>
      </c>
      <c r="H37" s="194">
        <f>SUMIFS('Cashbook Wix'!$B$2:$B$7073,'Cashbook Wix'!$A$2:$A$7073,"BE_")</f>
        <v>0</v>
      </c>
      <c r="I37" s="194">
        <v>0</v>
      </c>
      <c r="J37" s="148">
        <f t="shared" si="6"/>
        <v>-34.17</v>
      </c>
      <c r="K37" s="145">
        <f t="shared" si="7"/>
        <v>40.83</v>
      </c>
      <c r="L37" s="28"/>
      <c r="M37" s="28"/>
      <c r="N37" s="28"/>
      <c r="O37" s="28"/>
      <c r="P37" s="28"/>
      <c r="Q37" s="28"/>
      <c r="R37" s="28"/>
      <c r="S37" s="28"/>
      <c r="T37" s="28"/>
      <c r="U37" s="28"/>
      <c r="V37" s="28"/>
      <c r="W37" s="28"/>
      <c r="X37" s="28"/>
      <c r="Y37" s="28"/>
      <c r="Z37" s="28"/>
    </row>
    <row r="38" spans="1:26" ht="24.75" customHeight="1" x14ac:dyDescent="0.3">
      <c r="A38" s="617"/>
      <c r="B38" s="205" t="s">
        <v>498</v>
      </c>
      <c r="C38" s="193">
        <v>700</v>
      </c>
      <c r="D38" s="194">
        <v>0</v>
      </c>
      <c r="E38" s="194">
        <v>500</v>
      </c>
      <c r="F38" s="194">
        <f t="shared" si="5"/>
        <v>-200</v>
      </c>
      <c r="G38" s="195">
        <f>SUMIFS('Cashbook ING'!B3:B6966, 'Cashbook ING'!A3:A6966, "BE_GA")</f>
        <v>-283.62</v>
      </c>
      <c r="H38" s="194">
        <f>SUMIFS('Cashbook Wix'!$B$2:$B$7073,'Cashbook Wix'!$A$2:$A$7073,"BE_")</f>
        <v>0</v>
      </c>
      <c r="I38" s="194">
        <v>0</v>
      </c>
      <c r="J38" s="148">
        <f t="shared" si="6"/>
        <v>-283.62</v>
      </c>
      <c r="K38" s="145">
        <f t="shared" si="7"/>
        <v>-83.62</v>
      </c>
      <c r="L38" s="28"/>
      <c r="M38" s="28"/>
      <c r="N38" s="28"/>
      <c r="O38" s="28"/>
      <c r="P38" s="28"/>
      <c r="Q38" s="28"/>
      <c r="R38" s="28"/>
      <c r="S38" s="28"/>
      <c r="T38" s="28"/>
      <c r="U38" s="28"/>
      <c r="V38" s="28"/>
      <c r="W38" s="28"/>
      <c r="X38" s="28"/>
      <c r="Y38" s="28"/>
      <c r="Z38" s="28"/>
    </row>
    <row r="39" spans="1:26" ht="24.75" customHeight="1" x14ac:dyDescent="0.3">
      <c r="A39" s="617"/>
      <c r="B39" s="205" t="s">
        <v>499</v>
      </c>
      <c r="C39" s="193">
        <v>0</v>
      </c>
      <c r="D39" s="194">
        <v>0</v>
      </c>
      <c r="E39" s="194">
        <v>0</v>
      </c>
      <c r="F39" s="194">
        <f t="shared" si="5"/>
        <v>0</v>
      </c>
      <c r="G39" s="195">
        <f>SUMIFS('Cashbook ING'!B3:B6966, 'Cashbook ING'!A3:A6966, "BE_MemberAppreciation")</f>
        <v>0</v>
      </c>
      <c r="H39" s="194">
        <f>SUMIFS('Cashbook Wix'!$B$2:$B$7073,'Cashbook Wix'!$A$2:$A$7073,"BE_MemberAppreciation")</f>
        <v>0</v>
      </c>
      <c r="I39" s="194">
        <v>0</v>
      </c>
      <c r="J39" s="148">
        <f t="shared" si="6"/>
        <v>0</v>
      </c>
      <c r="K39" s="145">
        <f t="shared" si="7"/>
        <v>0</v>
      </c>
      <c r="L39" s="28"/>
      <c r="M39" s="28"/>
      <c r="N39" s="28"/>
      <c r="O39" s="28"/>
      <c r="P39" s="28"/>
      <c r="Q39" s="28"/>
      <c r="R39" s="28"/>
      <c r="S39" s="28"/>
      <c r="T39" s="28"/>
      <c r="U39" s="28"/>
      <c r="V39" s="28"/>
      <c r="W39" s="28"/>
      <c r="X39" s="28"/>
      <c r="Y39" s="28"/>
      <c r="Z39" s="28"/>
    </row>
    <row r="40" spans="1:26" ht="24.75" customHeight="1" x14ac:dyDescent="0.3">
      <c r="A40" s="617"/>
      <c r="B40" s="205" t="s">
        <v>500</v>
      </c>
      <c r="C40" s="193">
        <v>1500</v>
      </c>
      <c r="D40" s="194">
        <v>0</v>
      </c>
      <c r="E40" s="194">
        <v>1500</v>
      </c>
      <c r="F40" s="194">
        <f t="shared" si="5"/>
        <v>0</v>
      </c>
      <c r="G40" s="195">
        <f>SUMIFS('Cashbook ING'!B356:B6969, 'Cashbook ING'!A356:A6969, "BE_")</f>
        <v>0</v>
      </c>
      <c r="H40" s="194">
        <f>SUMIFS('Cashbook Wix'!$B$2:$B$7073,'Cashbook Wix'!$A$2:$A$7073,"BE_")</f>
        <v>0</v>
      </c>
      <c r="I40" s="194">
        <v>0</v>
      </c>
      <c r="J40" s="148">
        <f t="shared" si="6"/>
        <v>0</v>
      </c>
      <c r="K40" s="145">
        <f t="shared" si="7"/>
        <v>0</v>
      </c>
      <c r="L40" s="28"/>
      <c r="M40" s="28"/>
      <c r="N40" s="28"/>
      <c r="O40" s="28"/>
      <c r="P40" s="28"/>
      <c r="Q40" s="28"/>
      <c r="R40" s="28"/>
      <c r="S40" s="28"/>
      <c r="T40" s="28"/>
      <c r="U40" s="28"/>
      <c r="V40" s="28"/>
      <c r="W40" s="28"/>
      <c r="X40" s="28"/>
      <c r="Y40" s="28"/>
      <c r="Z40" s="28"/>
    </row>
    <row r="41" spans="1:26" ht="24.75" customHeight="1" x14ac:dyDescent="0.35">
      <c r="A41" s="617"/>
      <c r="B41" s="206" t="s">
        <v>488</v>
      </c>
      <c r="C41" s="207">
        <f t="shared" ref="C41:K41" si="8">SUM(C30:C40)</f>
        <v>7025</v>
      </c>
      <c r="D41" s="207">
        <f t="shared" si="8"/>
        <v>0</v>
      </c>
      <c r="E41" s="207">
        <f t="shared" si="8"/>
        <v>5800</v>
      </c>
      <c r="F41" s="207">
        <f t="shared" si="8"/>
        <v>-1225</v>
      </c>
      <c r="G41" s="208">
        <f t="shared" si="8"/>
        <v>-1839.69</v>
      </c>
      <c r="H41" s="207">
        <f t="shared" si="8"/>
        <v>251.4</v>
      </c>
      <c r="I41" s="207">
        <f t="shared" si="8"/>
        <v>0</v>
      </c>
      <c r="J41" s="209">
        <f t="shared" si="8"/>
        <v>-1588.29</v>
      </c>
      <c r="K41" s="210">
        <f t="shared" si="8"/>
        <v>-363.29</v>
      </c>
      <c r="L41" s="204"/>
      <c r="M41" s="204"/>
      <c r="N41" s="204"/>
      <c r="O41" s="204"/>
      <c r="P41" s="204"/>
      <c r="Q41" s="204"/>
      <c r="R41" s="204"/>
      <c r="S41" s="204"/>
      <c r="T41" s="204"/>
      <c r="U41" s="204"/>
      <c r="V41" s="204"/>
      <c r="W41" s="204"/>
      <c r="X41" s="204"/>
      <c r="Y41" s="204"/>
      <c r="Z41" s="204"/>
    </row>
    <row r="42" spans="1:26" ht="24.75" customHeight="1" x14ac:dyDescent="0.35">
      <c r="A42" s="617"/>
      <c r="B42" s="211" t="s">
        <v>501</v>
      </c>
      <c r="C42" s="212">
        <f>'Board-Organized Events'!C52</f>
        <v>7200</v>
      </c>
      <c r="D42" s="212">
        <f>'Board-Organized Events'!F52</f>
        <v>6485</v>
      </c>
      <c r="E42" s="212">
        <f>'Board-Organized Events'!G52</f>
        <v>0</v>
      </c>
      <c r="F42" s="212">
        <f>'Board-Organized Events'!H52</f>
        <v>-715</v>
      </c>
      <c r="G42" s="213">
        <f>'Board-Organized Events'!I52</f>
        <v>-228</v>
      </c>
      <c r="H42" s="212">
        <f>'Board-Organized Events'!J52</f>
        <v>76.169999999999987</v>
      </c>
      <c r="I42" s="212">
        <f>'Board-Organized Events'!K52</f>
        <v>0</v>
      </c>
      <c r="J42" s="214">
        <f>'Board-Organized Events'!L52</f>
        <v>-151.82999999999998</v>
      </c>
      <c r="K42" s="215">
        <f>'Board-Organized Events'!M52</f>
        <v>563.17000000000007</v>
      </c>
      <c r="L42" s="204"/>
      <c r="M42" s="204"/>
      <c r="N42" s="204"/>
      <c r="O42" s="204"/>
      <c r="P42" s="204"/>
      <c r="Q42" s="204"/>
      <c r="R42" s="204"/>
      <c r="S42" s="204"/>
      <c r="T42" s="204"/>
      <c r="U42" s="204"/>
      <c r="V42" s="204"/>
      <c r="W42" s="204"/>
      <c r="X42" s="204"/>
      <c r="Y42" s="204"/>
      <c r="Z42" s="204"/>
    </row>
    <row r="43" spans="1:26" ht="24.75" customHeight="1" x14ac:dyDescent="0.35">
      <c r="A43" s="607"/>
      <c r="B43" s="216" t="s">
        <v>502</v>
      </c>
      <c r="C43" s="217">
        <f t="shared" ref="C43:D43" si="9">C29+C41+C42</f>
        <v>23493</v>
      </c>
      <c r="D43" s="217">
        <f t="shared" si="9"/>
        <v>12521.48</v>
      </c>
      <c r="E43" s="217">
        <f>E29+E41</f>
        <v>8850</v>
      </c>
      <c r="F43" s="217">
        <f>D43+E43-C43</f>
        <v>-2121.5200000000004</v>
      </c>
      <c r="G43" s="218">
        <f t="shared" ref="G43:J43" si="10">SUM(G29,G41)</f>
        <v>-4892.58</v>
      </c>
      <c r="H43" s="217">
        <f t="shared" si="10"/>
        <v>2199.3000000000002</v>
      </c>
      <c r="I43" s="217">
        <f t="shared" si="10"/>
        <v>0</v>
      </c>
      <c r="J43" s="219">
        <f t="shared" si="10"/>
        <v>-2693.2799999999997</v>
      </c>
      <c r="K43" s="220">
        <f>K29+K41+K42</f>
        <v>-723.59000000000015</v>
      </c>
      <c r="L43" s="221"/>
      <c r="M43" s="221"/>
      <c r="N43" s="221"/>
      <c r="O43" s="221"/>
      <c r="P43" s="221"/>
      <c r="Q43" s="221"/>
      <c r="R43" s="221"/>
      <c r="S43" s="221"/>
      <c r="T43" s="221"/>
      <c r="U43" s="221"/>
      <c r="V43" s="221"/>
      <c r="W43" s="221"/>
      <c r="X43" s="221"/>
      <c r="Y43" s="221"/>
      <c r="Z43" s="221"/>
    </row>
    <row r="44" spans="1:26" ht="14.25" customHeight="1" x14ac:dyDescent="0.3">
      <c r="A44" s="176"/>
      <c r="B44" s="28"/>
      <c r="C44" s="28"/>
      <c r="D44" s="28"/>
      <c r="E44" s="28"/>
      <c r="F44" s="222"/>
      <c r="G44" s="222"/>
      <c r="H44" s="222"/>
      <c r="I44" s="222"/>
      <c r="J44" s="28"/>
      <c r="K44" s="28"/>
      <c r="L44" s="176"/>
      <c r="M44" s="176"/>
      <c r="N44" s="176"/>
      <c r="O44" s="176"/>
      <c r="P44" s="176"/>
      <c r="Q44" s="176"/>
      <c r="R44" s="176"/>
      <c r="S44" s="176"/>
      <c r="T44" s="176"/>
      <c r="U44" s="176"/>
      <c r="V44" s="176"/>
      <c r="W44" s="176"/>
      <c r="X44" s="176"/>
      <c r="Y44" s="176"/>
      <c r="Z44" s="176"/>
    </row>
    <row r="45" spans="1:26" ht="14.25" customHeight="1" x14ac:dyDescent="0.3">
      <c r="A45" s="28"/>
      <c r="B45" s="176"/>
      <c r="E45" s="178"/>
      <c r="F45" s="223"/>
      <c r="G45" s="223"/>
      <c r="H45" s="223"/>
      <c r="I45" s="223"/>
      <c r="L45" s="28"/>
      <c r="M45" s="28"/>
      <c r="N45" s="28"/>
      <c r="O45" s="28"/>
      <c r="P45" s="28"/>
      <c r="Q45" s="28"/>
      <c r="R45" s="28"/>
      <c r="S45" s="28"/>
      <c r="T45" s="28"/>
      <c r="U45" s="28"/>
      <c r="V45" s="28"/>
      <c r="W45" s="28"/>
      <c r="X45" s="28"/>
      <c r="Y45" s="28"/>
      <c r="Z45" s="28"/>
    </row>
    <row r="46" spans="1:26" ht="14.25" customHeight="1" x14ac:dyDescent="0.2">
      <c r="F46" s="223"/>
      <c r="G46" s="224"/>
      <c r="H46" s="223"/>
    </row>
    <row r="47" spans="1:26" ht="14.25" customHeight="1" x14ac:dyDescent="0.2"/>
    <row r="48" spans="1:26"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6">
    <mergeCell ref="A30:A43"/>
    <mergeCell ref="A1:A2"/>
    <mergeCell ref="B1:B2"/>
    <mergeCell ref="C1:F1"/>
    <mergeCell ref="G1:K1"/>
    <mergeCell ref="A3:A29"/>
  </mergeCells>
  <conditionalFormatting sqref="A1:C1 A2 H2 C3:K43">
    <cfRule type="cellIs" dxfId="124" priority="1" operator="lessThan">
      <formula>0</formula>
    </cfRule>
  </conditionalFormatting>
  <conditionalFormatting sqref="E45">
    <cfRule type="cellIs" dxfId="123" priority="2" operator="lessThan">
      <formula>0</formula>
    </cfRule>
  </conditionalFormatting>
  <conditionalFormatting sqref="N4:N6">
    <cfRule type="cellIs" dxfId="122" priority="3" operator="lessThan">
      <formula>0</formula>
    </cfRule>
  </conditionalFormatting>
  <pageMargins left="0.7" right="0.7" top="0.78740157499999996" bottom="0.78740157499999996"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2B5258"/>
  </sheetPr>
  <dimension ref="A1:N1000"/>
  <sheetViews>
    <sheetView showGridLines="0" zoomScale="47" workbookViewId="0">
      <selection activeCell="A8" sqref="A8:A12"/>
    </sheetView>
  </sheetViews>
  <sheetFormatPr baseColWidth="10" defaultColWidth="14.5" defaultRowHeight="15" customHeight="1" x14ac:dyDescent="0.2"/>
  <cols>
    <col min="1" max="1" width="33.83203125" customWidth="1"/>
    <col min="2" max="2" width="61.5" customWidth="1"/>
    <col min="3" max="3" width="27.5" customWidth="1"/>
    <col min="4" max="4" width="22.33203125" customWidth="1"/>
    <col min="5" max="5" width="33.33203125" customWidth="1"/>
    <col min="6" max="6" width="26.6640625" customWidth="1"/>
    <col min="7" max="7" width="24.6640625" customWidth="1"/>
    <col min="8" max="8" width="23.5" customWidth="1"/>
    <col min="9" max="9" width="34.83203125" customWidth="1"/>
    <col min="10" max="10" width="24.5" customWidth="1"/>
    <col min="11" max="11" width="34.5" customWidth="1"/>
    <col min="12" max="12" width="22.5" customWidth="1"/>
    <col min="13" max="13" width="35.5" customWidth="1"/>
    <col min="14" max="26" width="8.6640625" customWidth="1"/>
  </cols>
  <sheetData>
    <row r="1" spans="1:13" ht="24.75" customHeight="1" x14ac:dyDescent="0.25">
      <c r="A1" s="606" t="s">
        <v>378</v>
      </c>
      <c r="B1" s="608" t="s">
        <v>330</v>
      </c>
      <c r="C1" s="609" t="s">
        <v>379</v>
      </c>
      <c r="D1" s="610"/>
      <c r="E1" s="610"/>
      <c r="F1" s="610"/>
      <c r="G1" s="610"/>
      <c r="H1" s="611"/>
      <c r="I1" s="612" t="s">
        <v>503</v>
      </c>
      <c r="J1" s="610"/>
      <c r="K1" s="610"/>
      <c r="L1" s="610"/>
      <c r="M1" s="611"/>
    </row>
    <row r="2" spans="1:13" ht="24.75" customHeight="1" x14ac:dyDescent="0.25">
      <c r="A2" s="607"/>
      <c r="B2" s="623"/>
      <c r="C2" s="129" t="s">
        <v>381</v>
      </c>
      <c r="D2" s="130" t="s">
        <v>504</v>
      </c>
      <c r="E2" s="131" t="s">
        <v>505</v>
      </c>
      <c r="F2" s="132" t="s">
        <v>384</v>
      </c>
      <c r="G2" s="133" t="s">
        <v>456</v>
      </c>
      <c r="H2" s="134" t="s">
        <v>386</v>
      </c>
      <c r="I2" s="135" t="s">
        <v>381</v>
      </c>
      <c r="J2" s="136" t="s">
        <v>384</v>
      </c>
      <c r="K2" s="137" t="s">
        <v>456</v>
      </c>
      <c r="L2" s="138" t="s">
        <v>386</v>
      </c>
      <c r="M2" s="139" t="s">
        <v>457</v>
      </c>
    </row>
    <row r="3" spans="1:13" ht="24.75" customHeight="1" x14ac:dyDescent="0.3">
      <c r="A3" s="619" t="s">
        <v>506</v>
      </c>
      <c r="B3" s="225" t="s">
        <v>507</v>
      </c>
      <c r="C3" s="226">
        <v>0</v>
      </c>
      <c r="D3" s="227">
        <v>0</v>
      </c>
      <c r="E3" s="226">
        <v>0</v>
      </c>
      <c r="F3" s="226">
        <v>0</v>
      </c>
      <c r="G3" s="226">
        <v>0</v>
      </c>
      <c r="H3" s="228">
        <f t="shared" ref="H3:H6" si="0">F3+G3-C3</f>
        <v>0</v>
      </c>
      <c r="I3" s="226">
        <f>SUMIFS('Cashbook ING'!$B:$B, 'Cashbook ING'!$A:$A, "PT_")</f>
        <v>0</v>
      </c>
      <c r="J3" s="226">
        <v>0</v>
      </c>
      <c r="K3" s="226">
        <v>0</v>
      </c>
      <c r="L3" s="145">
        <f t="shared" ref="L3:L6" si="1">K3+J3+I3</f>
        <v>0</v>
      </c>
      <c r="M3" s="229">
        <f t="shared" ref="M3:M6" si="2">L3-H3</f>
        <v>0</v>
      </c>
    </row>
    <row r="4" spans="1:13" ht="24.75" customHeight="1" x14ac:dyDescent="0.3">
      <c r="A4" s="620"/>
      <c r="B4" s="230" t="s">
        <v>508</v>
      </c>
      <c r="C4" s="194">
        <v>350</v>
      </c>
      <c r="D4" s="143">
        <v>0</v>
      </c>
      <c r="E4" s="194">
        <v>0</v>
      </c>
      <c r="F4" s="194">
        <v>0</v>
      </c>
      <c r="G4" s="194">
        <v>0</v>
      </c>
      <c r="H4" s="228">
        <f t="shared" si="0"/>
        <v>-350</v>
      </c>
      <c r="I4" s="194">
        <f>SUMIFS('Cashbook ING'!$B:$B, 'Cashbook ING'!$A:$A, "BE_Borrel1_Drinks")</f>
        <v>-228</v>
      </c>
      <c r="J4" s="194">
        <v>0</v>
      </c>
      <c r="K4" s="194">
        <v>0</v>
      </c>
      <c r="L4" s="145">
        <f t="shared" si="1"/>
        <v>-228</v>
      </c>
      <c r="M4" s="231">
        <f t="shared" si="2"/>
        <v>122</v>
      </c>
    </row>
    <row r="5" spans="1:13" ht="24.75" customHeight="1" x14ac:dyDescent="0.3">
      <c r="A5" s="620"/>
      <c r="B5" s="145" t="s">
        <v>509</v>
      </c>
      <c r="C5" s="194">
        <v>0</v>
      </c>
      <c r="D5" s="143">
        <v>80</v>
      </c>
      <c r="E5" s="194">
        <v>3</v>
      </c>
      <c r="F5" s="194">
        <f t="shared" ref="F5:F6" si="3">E5*D5</f>
        <v>240</v>
      </c>
      <c r="G5" s="194">
        <v>0</v>
      </c>
      <c r="H5" s="228">
        <f t="shared" si="0"/>
        <v>240</v>
      </c>
      <c r="I5" s="194">
        <v>0</v>
      </c>
      <c r="J5" s="194">
        <f>SUMIFS('Cashbook Wix'!$B$2:$B$7106,'Cashbook Wix'!$A$2:$A$7106,"BE_Borrel1_Member")</f>
        <v>62.429999999999993</v>
      </c>
      <c r="K5" s="194">
        <v>0</v>
      </c>
      <c r="L5" s="145">
        <f t="shared" si="1"/>
        <v>62.429999999999993</v>
      </c>
      <c r="M5" s="231">
        <f t="shared" si="2"/>
        <v>-177.57</v>
      </c>
    </row>
    <row r="6" spans="1:13" ht="24.75" customHeight="1" x14ac:dyDescent="0.3">
      <c r="A6" s="620"/>
      <c r="B6" s="145" t="s">
        <v>510</v>
      </c>
      <c r="C6" s="194">
        <v>0</v>
      </c>
      <c r="D6" s="143">
        <v>10</v>
      </c>
      <c r="E6" s="194">
        <v>5</v>
      </c>
      <c r="F6" s="194">
        <f t="shared" si="3"/>
        <v>50</v>
      </c>
      <c r="G6" s="194">
        <v>0</v>
      </c>
      <c r="H6" s="228">
        <f t="shared" si="0"/>
        <v>50</v>
      </c>
      <c r="I6" s="194">
        <v>0</v>
      </c>
      <c r="J6" s="194">
        <f>SUMIFS('Cashbook Wix'!$B$2:$B$7106,'Cashbook Wix'!$A$2:$A$7106,"BE_Borrel1_Nonmember")</f>
        <v>13.740000000000002</v>
      </c>
      <c r="K6" s="194">
        <v>0</v>
      </c>
      <c r="L6" s="145">
        <f t="shared" si="1"/>
        <v>13.740000000000002</v>
      </c>
      <c r="M6" s="231">
        <f t="shared" si="2"/>
        <v>-36.26</v>
      </c>
    </row>
    <row r="7" spans="1:13" ht="24.75" customHeight="1" x14ac:dyDescent="0.3">
      <c r="A7" s="621"/>
      <c r="B7" s="232" t="s">
        <v>511</v>
      </c>
      <c r="C7" s="233">
        <f t="shared" ref="C7:D7" si="4">SUM(C3:C6)</f>
        <v>350</v>
      </c>
      <c r="D7" s="234">
        <f t="shared" si="4"/>
        <v>90</v>
      </c>
      <c r="E7" s="235">
        <v>0</v>
      </c>
      <c r="F7" s="233">
        <f>SUM(F3:F6)</f>
        <v>290</v>
      </c>
      <c r="G7" s="235">
        <v>0</v>
      </c>
      <c r="H7" s="236">
        <f t="shared" ref="H7:M7" si="5">SUM(H3:H6)</f>
        <v>-60</v>
      </c>
      <c r="I7" s="233">
        <f t="shared" si="5"/>
        <v>-228</v>
      </c>
      <c r="J7" s="233">
        <f t="shared" si="5"/>
        <v>76.169999999999987</v>
      </c>
      <c r="K7" s="233">
        <f t="shared" si="5"/>
        <v>0</v>
      </c>
      <c r="L7" s="236">
        <f t="shared" si="5"/>
        <v>-151.82999999999998</v>
      </c>
      <c r="M7" s="237">
        <f t="shared" si="5"/>
        <v>-91.829999999999984</v>
      </c>
    </row>
    <row r="8" spans="1:13" ht="24.75" customHeight="1" x14ac:dyDescent="0.3">
      <c r="A8" s="625" t="s">
        <v>512</v>
      </c>
      <c r="B8" s="238" t="s">
        <v>507</v>
      </c>
      <c r="C8" s="239">
        <v>0</v>
      </c>
      <c r="D8" s="240">
        <v>0</v>
      </c>
      <c r="E8" s="239">
        <v>0</v>
      </c>
      <c r="F8" s="241">
        <v>0</v>
      </c>
      <c r="G8" s="241">
        <v>0</v>
      </c>
      <c r="H8" s="242">
        <f t="shared" ref="H8:H11" si="6">G8+F8-C8</f>
        <v>0</v>
      </c>
      <c r="I8" s="241">
        <f>SUMIFS('Cashbook ING'!$B:$B, 'Cashbook ING'!$A:$A, "PT_")</f>
        <v>0</v>
      </c>
      <c r="J8" s="241">
        <v>0</v>
      </c>
      <c r="K8" s="241">
        <v>0</v>
      </c>
      <c r="L8" s="243">
        <f t="shared" ref="L8:L11" si="7">K8+J8+I8</f>
        <v>0</v>
      </c>
      <c r="M8" s="244">
        <f t="shared" ref="M8:M11" si="8">L8-H8</f>
        <v>0</v>
      </c>
    </row>
    <row r="9" spans="1:13" ht="24.75" customHeight="1" x14ac:dyDescent="0.3">
      <c r="A9" s="617"/>
      <c r="B9" s="245" t="s">
        <v>508</v>
      </c>
      <c r="C9" s="193">
        <v>350</v>
      </c>
      <c r="D9" s="160">
        <v>0</v>
      </c>
      <c r="E9" s="193">
        <v>0</v>
      </c>
      <c r="F9" s="194">
        <f t="shared" ref="F9:F11" si="9">E9*D9</f>
        <v>0</v>
      </c>
      <c r="G9" s="194">
        <v>0</v>
      </c>
      <c r="H9" s="228">
        <f t="shared" si="6"/>
        <v>-350</v>
      </c>
      <c r="I9" s="194">
        <f>SUMIFS('Cashbook ING'!$B:$B, 'Cashbook ING'!$A:$A, "PT_")</f>
        <v>0</v>
      </c>
      <c r="J9" s="194">
        <v>0</v>
      </c>
      <c r="K9" s="194">
        <v>0</v>
      </c>
      <c r="L9" s="145">
        <f t="shared" si="7"/>
        <v>0</v>
      </c>
      <c r="M9" s="231">
        <f t="shared" si="8"/>
        <v>350</v>
      </c>
    </row>
    <row r="10" spans="1:13" ht="24.75" customHeight="1" x14ac:dyDescent="0.3">
      <c r="A10" s="617"/>
      <c r="B10" s="245" t="s">
        <v>509</v>
      </c>
      <c r="C10" s="193">
        <v>0</v>
      </c>
      <c r="D10" s="160">
        <v>70</v>
      </c>
      <c r="E10" s="193">
        <v>3</v>
      </c>
      <c r="F10" s="194">
        <f t="shared" si="9"/>
        <v>210</v>
      </c>
      <c r="G10" s="194">
        <v>0</v>
      </c>
      <c r="H10" s="228">
        <f t="shared" si="6"/>
        <v>210</v>
      </c>
      <c r="I10" s="194">
        <v>0</v>
      </c>
      <c r="J10" s="194">
        <f>SUMIFS('Cashbook Wix'!$B$2:$B$7106,'Cashbook Wix'!$A$2:$A$7106,"PT_")</f>
        <v>0</v>
      </c>
      <c r="K10" s="194">
        <v>0</v>
      </c>
      <c r="L10" s="145">
        <f t="shared" si="7"/>
        <v>0</v>
      </c>
      <c r="M10" s="231">
        <f t="shared" si="8"/>
        <v>-210</v>
      </c>
    </row>
    <row r="11" spans="1:13" ht="24.75" customHeight="1" x14ac:dyDescent="0.3">
      <c r="A11" s="617"/>
      <c r="B11" s="145" t="s">
        <v>510</v>
      </c>
      <c r="C11" s="194">
        <v>0</v>
      </c>
      <c r="D11" s="143">
        <v>10</v>
      </c>
      <c r="E11" s="194">
        <v>5</v>
      </c>
      <c r="F11" s="194">
        <f t="shared" si="9"/>
        <v>50</v>
      </c>
      <c r="G11" s="194">
        <v>0</v>
      </c>
      <c r="H11" s="228">
        <f t="shared" si="6"/>
        <v>50</v>
      </c>
      <c r="I11" s="194">
        <v>0</v>
      </c>
      <c r="J11" s="194">
        <f>SUMIFS('Cashbook Wix'!$B$2:$B$7106,'Cashbook Wix'!$A$2:$A$7106,"PT_")</f>
        <v>0</v>
      </c>
      <c r="K11" s="194">
        <v>0</v>
      </c>
      <c r="L11" s="145">
        <f t="shared" si="7"/>
        <v>0</v>
      </c>
      <c r="M11" s="231">
        <f t="shared" si="8"/>
        <v>-50</v>
      </c>
    </row>
    <row r="12" spans="1:13" ht="24.75" customHeight="1" x14ac:dyDescent="0.3">
      <c r="A12" s="623"/>
      <c r="B12" s="232" t="s">
        <v>511</v>
      </c>
      <c r="C12" s="233">
        <f>SUM(C8:C11)</f>
        <v>350</v>
      </c>
      <c r="D12" s="246">
        <f>SUM(D10:D11)</f>
        <v>80</v>
      </c>
      <c r="E12" s="233">
        <v>0</v>
      </c>
      <c r="F12" s="233">
        <f t="shared" ref="F12:M12" si="10">SUM(F8:F11)</f>
        <v>260</v>
      </c>
      <c r="G12" s="233">
        <f t="shared" si="10"/>
        <v>0</v>
      </c>
      <c r="H12" s="236">
        <f t="shared" si="10"/>
        <v>-90</v>
      </c>
      <c r="I12" s="233">
        <f t="shared" si="10"/>
        <v>0</v>
      </c>
      <c r="J12" s="233">
        <f t="shared" si="10"/>
        <v>0</v>
      </c>
      <c r="K12" s="233">
        <f t="shared" si="10"/>
        <v>0</v>
      </c>
      <c r="L12" s="236">
        <f t="shared" si="10"/>
        <v>0</v>
      </c>
      <c r="M12" s="237">
        <f t="shared" si="10"/>
        <v>90</v>
      </c>
    </row>
    <row r="13" spans="1:13" ht="24.75" customHeight="1" x14ac:dyDescent="0.3">
      <c r="A13" s="629" t="s">
        <v>513</v>
      </c>
      <c r="B13" s="243" t="s">
        <v>507</v>
      </c>
      <c r="C13" s="241">
        <v>0</v>
      </c>
      <c r="D13" s="247">
        <v>0</v>
      </c>
      <c r="E13" s="241">
        <v>0</v>
      </c>
      <c r="F13" s="241">
        <v>0</v>
      </c>
      <c r="G13" s="241">
        <v>0</v>
      </c>
      <c r="H13" s="242">
        <f t="shared" ref="H13:H16" si="11">F13+G13-C13</f>
        <v>0</v>
      </c>
      <c r="I13" s="241">
        <f>SUMIFS('Cashbook ING'!$B:$B, 'Cashbook ING'!$A:$A, "PT_")</f>
        <v>0</v>
      </c>
      <c r="J13" s="241">
        <v>0</v>
      </c>
      <c r="K13" s="241">
        <v>0</v>
      </c>
      <c r="L13" s="248">
        <f>J13+K13+I13</f>
        <v>0</v>
      </c>
      <c r="M13" s="244">
        <f t="shared" ref="M13:M16" si="12">L13-H13</f>
        <v>0</v>
      </c>
    </row>
    <row r="14" spans="1:13" ht="24.75" customHeight="1" x14ac:dyDescent="0.3">
      <c r="A14" s="627"/>
      <c r="B14" s="145" t="s">
        <v>508</v>
      </c>
      <c r="C14" s="193">
        <v>250</v>
      </c>
      <c r="D14" s="143">
        <v>0</v>
      </c>
      <c r="E14" s="194">
        <v>0</v>
      </c>
      <c r="F14" s="194">
        <v>0</v>
      </c>
      <c r="G14" s="194">
        <v>0</v>
      </c>
      <c r="H14" s="228">
        <f t="shared" si="11"/>
        <v>-250</v>
      </c>
      <c r="I14" s="194">
        <f>SUMIFS('Cashbook ING'!$B:$B, 'Cashbook ING'!$A:$A, "PT_")</f>
        <v>0</v>
      </c>
      <c r="J14" s="194">
        <v>0</v>
      </c>
      <c r="K14" s="194">
        <v>0</v>
      </c>
      <c r="L14" s="145">
        <f t="shared" ref="L14:L16" si="13">K14+J14+I14</f>
        <v>0</v>
      </c>
      <c r="M14" s="231">
        <f t="shared" si="12"/>
        <v>250</v>
      </c>
    </row>
    <row r="15" spans="1:13" ht="24.75" customHeight="1" x14ac:dyDescent="0.3">
      <c r="A15" s="627"/>
      <c r="B15" s="145" t="s">
        <v>509</v>
      </c>
      <c r="C15" s="194">
        <v>0</v>
      </c>
      <c r="D15" s="143">
        <v>60</v>
      </c>
      <c r="E15" s="194">
        <v>3</v>
      </c>
      <c r="F15" s="194">
        <f t="shared" ref="F15:F16" si="14">E15*D15</f>
        <v>180</v>
      </c>
      <c r="G15" s="194">
        <v>0</v>
      </c>
      <c r="H15" s="228">
        <f t="shared" si="11"/>
        <v>180</v>
      </c>
      <c r="I15" s="194">
        <v>0</v>
      </c>
      <c r="J15" s="194">
        <f>SUMIFS('Cashbook Wix'!$B$2:$B$7106,'Cashbook Wix'!$A$2:$A$7106,"PT_")</f>
        <v>0</v>
      </c>
      <c r="K15" s="194">
        <v>0</v>
      </c>
      <c r="L15" s="145">
        <f t="shared" si="13"/>
        <v>0</v>
      </c>
      <c r="M15" s="231">
        <f t="shared" si="12"/>
        <v>-180</v>
      </c>
    </row>
    <row r="16" spans="1:13" ht="24.75" customHeight="1" x14ac:dyDescent="0.3">
      <c r="A16" s="627"/>
      <c r="B16" s="145" t="s">
        <v>510</v>
      </c>
      <c r="C16" s="194">
        <v>0</v>
      </c>
      <c r="D16" s="143">
        <v>10</v>
      </c>
      <c r="E16" s="194">
        <v>5</v>
      </c>
      <c r="F16" s="194">
        <f t="shared" si="14"/>
        <v>50</v>
      </c>
      <c r="G16" s="194">
        <v>0</v>
      </c>
      <c r="H16" s="228">
        <f t="shared" si="11"/>
        <v>50</v>
      </c>
      <c r="I16" s="194">
        <v>0</v>
      </c>
      <c r="J16" s="194">
        <f>SUMIFS('Cashbook Wix'!$B$2:$B$7106,'Cashbook Wix'!$A$2:$A$7106,"PT_")</f>
        <v>0</v>
      </c>
      <c r="K16" s="194">
        <v>0</v>
      </c>
      <c r="L16" s="145">
        <f t="shared" si="13"/>
        <v>0</v>
      </c>
      <c r="M16" s="231">
        <f t="shared" si="12"/>
        <v>-50</v>
      </c>
    </row>
    <row r="17" spans="1:13" ht="24.75" customHeight="1" x14ac:dyDescent="0.3">
      <c r="A17" s="628"/>
      <c r="B17" s="249" t="s">
        <v>511</v>
      </c>
      <c r="C17" s="250">
        <f t="shared" ref="C17:D17" si="15">SUM(C13:C16)</f>
        <v>250</v>
      </c>
      <c r="D17" s="251">
        <f t="shared" si="15"/>
        <v>70</v>
      </c>
      <c r="E17" s="250">
        <v>0</v>
      </c>
      <c r="F17" s="250">
        <f t="shared" ref="F17:J17" si="16">SUM(F13:F16)</f>
        <v>230</v>
      </c>
      <c r="G17" s="250">
        <f t="shared" si="16"/>
        <v>0</v>
      </c>
      <c r="H17" s="252">
        <f t="shared" si="16"/>
        <v>-20</v>
      </c>
      <c r="I17" s="250">
        <f t="shared" si="16"/>
        <v>0</v>
      </c>
      <c r="J17" s="250">
        <f t="shared" si="16"/>
        <v>0</v>
      </c>
      <c r="K17" s="250">
        <f>SUM(K13)</f>
        <v>0</v>
      </c>
      <c r="L17" s="252">
        <f t="shared" ref="L17:M17" si="17">SUM(L13:L16)</f>
        <v>0</v>
      </c>
      <c r="M17" s="253">
        <f t="shared" si="17"/>
        <v>20</v>
      </c>
    </row>
    <row r="18" spans="1:13" ht="24.75" customHeight="1" x14ac:dyDescent="0.3">
      <c r="A18" s="622" t="s">
        <v>514</v>
      </c>
      <c r="B18" s="243" t="s">
        <v>507</v>
      </c>
      <c r="C18" s="254">
        <v>0</v>
      </c>
      <c r="D18" s="247">
        <v>0</v>
      </c>
      <c r="E18" s="241">
        <v>0</v>
      </c>
      <c r="F18" s="241">
        <v>0</v>
      </c>
      <c r="G18" s="241">
        <v>0</v>
      </c>
      <c r="H18" s="242">
        <f t="shared" ref="H18:H21" si="18">F18+G18-C18</f>
        <v>0</v>
      </c>
      <c r="I18" s="241">
        <f>SUMIFS('Cashbook ING'!$B:$B, 'Cashbook ING'!$A:$A, "PT_")</f>
        <v>0</v>
      </c>
      <c r="J18" s="241">
        <v>0</v>
      </c>
      <c r="K18" s="241">
        <v>0</v>
      </c>
      <c r="L18" s="243">
        <f t="shared" ref="L18:L21" si="19">J18+K18-I18</f>
        <v>0</v>
      </c>
      <c r="M18" s="244">
        <f t="shared" ref="M18:M21" si="20">L18-H18</f>
        <v>0</v>
      </c>
    </row>
    <row r="19" spans="1:13" ht="24.75" customHeight="1" x14ac:dyDescent="0.3">
      <c r="A19" s="617"/>
      <c r="B19" s="145" t="s">
        <v>508</v>
      </c>
      <c r="C19" s="195">
        <v>300</v>
      </c>
      <c r="D19" s="143">
        <v>0</v>
      </c>
      <c r="E19" s="194">
        <v>0</v>
      </c>
      <c r="F19" s="194">
        <v>0</v>
      </c>
      <c r="G19" s="194">
        <v>0</v>
      </c>
      <c r="H19" s="228">
        <f t="shared" si="18"/>
        <v>-300</v>
      </c>
      <c r="I19" s="194">
        <f>SUMIFS('Cashbook ING'!$B:$B, 'Cashbook ING'!$A:$A, "PT_")</f>
        <v>0</v>
      </c>
      <c r="J19" s="194">
        <v>0</v>
      </c>
      <c r="K19" s="194">
        <v>0</v>
      </c>
      <c r="L19" s="145">
        <f t="shared" si="19"/>
        <v>0</v>
      </c>
      <c r="M19" s="231">
        <f t="shared" si="20"/>
        <v>300</v>
      </c>
    </row>
    <row r="20" spans="1:13" ht="24.75" customHeight="1" x14ac:dyDescent="0.3">
      <c r="A20" s="617"/>
      <c r="B20" s="145" t="s">
        <v>509</v>
      </c>
      <c r="C20" s="195">
        <v>0</v>
      </c>
      <c r="D20" s="143">
        <v>80</v>
      </c>
      <c r="E20" s="194">
        <v>3</v>
      </c>
      <c r="F20" s="194">
        <f t="shared" ref="F20:F21" si="21">E20*D20</f>
        <v>240</v>
      </c>
      <c r="G20" s="194">
        <v>0</v>
      </c>
      <c r="H20" s="255">
        <f t="shared" si="18"/>
        <v>240</v>
      </c>
      <c r="I20" s="195">
        <f>SUMIFS('Cashbook ING'!$B:$B, 'Cashbook ING'!$A:$A, "PT_")</f>
        <v>0</v>
      </c>
      <c r="J20" s="194">
        <f>SUMIFS('Cashbook Wix'!$B$2:$B$7106,'Cashbook Wix'!$A$2:$A$7106,"PT_")</f>
        <v>0</v>
      </c>
      <c r="K20" s="194">
        <v>0</v>
      </c>
      <c r="L20" s="145">
        <f t="shared" si="19"/>
        <v>0</v>
      </c>
      <c r="M20" s="231">
        <f t="shared" si="20"/>
        <v>-240</v>
      </c>
    </row>
    <row r="21" spans="1:13" ht="24.75" customHeight="1" x14ac:dyDescent="0.3">
      <c r="A21" s="617"/>
      <c r="B21" s="145" t="s">
        <v>510</v>
      </c>
      <c r="C21" s="195">
        <v>0</v>
      </c>
      <c r="D21" s="143">
        <v>10</v>
      </c>
      <c r="E21" s="194">
        <v>5</v>
      </c>
      <c r="F21" s="194">
        <f t="shared" si="21"/>
        <v>50</v>
      </c>
      <c r="G21" s="194">
        <v>0</v>
      </c>
      <c r="H21" s="255">
        <f t="shared" si="18"/>
        <v>50</v>
      </c>
      <c r="I21" s="195">
        <v>0</v>
      </c>
      <c r="J21" s="194">
        <f>SUMIFS('Cashbook Wix'!$B$2:$B$7106,'Cashbook Wix'!$A$2:$A$7106,"PT_")</f>
        <v>0</v>
      </c>
      <c r="K21" s="194">
        <v>0</v>
      </c>
      <c r="L21" s="145">
        <f t="shared" si="19"/>
        <v>0</v>
      </c>
      <c r="M21" s="231">
        <f t="shared" si="20"/>
        <v>-50</v>
      </c>
    </row>
    <row r="22" spans="1:13" ht="24.75" customHeight="1" x14ac:dyDescent="0.3">
      <c r="A22" s="623"/>
      <c r="B22" s="232" t="s">
        <v>511</v>
      </c>
      <c r="C22" s="256">
        <f t="shared" ref="C22:D22" si="22">SUM(C18:C21)</f>
        <v>300</v>
      </c>
      <c r="D22" s="234">
        <f t="shared" si="22"/>
        <v>90</v>
      </c>
      <c r="E22" s="235">
        <f>(E20*D20)+E21*D21</f>
        <v>290</v>
      </c>
      <c r="F22" s="233">
        <f t="shared" ref="F22:M22" si="23">SUM(F18:F21)</f>
        <v>290</v>
      </c>
      <c r="G22" s="235">
        <f t="shared" si="23"/>
        <v>0</v>
      </c>
      <c r="H22" s="236">
        <f t="shared" si="23"/>
        <v>-10</v>
      </c>
      <c r="I22" s="256">
        <f t="shared" si="23"/>
        <v>0</v>
      </c>
      <c r="J22" s="233">
        <f t="shared" si="23"/>
        <v>0</v>
      </c>
      <c r="K22" s="233">
        <f t="shared" si="23"/>
        <v>0</v>
      </c>
      <c r="L22" s="236">
        <f t="shared" si="23"/>
        <v>0</v>
      </c>
      <c r="M22" s="236">
        <f t="shared" si="23"/>
        <v>10</v>
      </c>
    </row>
    <row r="23" spans="1:13" ht="24.75" customHeight="1" x14ac:dyDescent="0.3">
      <c r="A23" s="625" t="s">
        <v>515</v>
      </c>
      <c r="B23" s="238" t="s">
        <v>516</v>
      </c>
      <c r="C23" s="239">
        <v>0</v>
      </c>
      <c r="D23" s="240">
        <v>0</v>
      </c>
      <c r="E23" s="239">
        <v>0</v>
      </c>
      <c r="F23" s="241">
        <v>0</v>
      </c>
      <c r="G23" s="241">
        <v>0</v>
      </c>
      <c r="H23" s="242">
        <f t="shared" ref="H23:H26" si="24">G23+F23-C23</f>
        <v>0</v>
      </c>
      <c r="I23" s="241">
        <f>SUMIFS('Cashbook ING'!$B:$B, 'Cashbook ING'!$A:$A, "PT_")</f>
        <v>0</v>
      </c>
      <c r="J23" s="241">
        <v>0</v>
      </c>
      <c r="K23" s="241">
        <v>0</v>
      </c>
      <c r="L23" s="243">
        <f t="shared" ref="L23:L26" si="25">K23+J23+I23</f>
        <v>0</v>
      </c>
      <c r="M23" s="244">
        <f t="shared" ref="M23:M26" si="26">L23-H23</f>
        <v>0</v>
      </c>
    </row>
    <row r="24" spans="1:13" ht="24.75" customHeight="1" x14ac:dyDescent="0.3">
      <c r="A24" s="617"/>
      <c r="B24" s="245" t="s">
        <v>517</v>
      </c>
      <c r="C24" s="193">
        <v>700</v>
      </c>
      <c r="D24" s="160">
        <v>0</v>
      </c>
      <c r="E24" s="193">
        <v>0</v>
      </c>
      <c r="F24" s="194">
        <v>0</v>
      </c>
      <c r="G24" s="194">
        <v>0</v>
      </c>
      <c r="H24" s="228">
        <f t="shared" si="24"/>
        <v>-700</v>
      </c>
      <c r="I24" s="194">
        <f>SUMIFS('Cashbook ING'!$B:$B, 'Cashbook ING'!$A:$A, "PT_")</f>
        <v>0</v>
      </c>
      <c r="J24" s="241">
        <v>0</v>
      </c>
      <c r="K24" s="241">
        <v>0</v>
      </c>
      <c r="L24" s="243">
        <f t="shared" si="25"/>
        <v>0</v>
      </c>
      <c r="M24" s="231">
        <f t="shared" si="26"/>
        <v>700</v>
      </c>
    </row>
    <row r="25" spans="1:13" ht="24.75" customHeight="1" x14ac:dyDescent="0.3">
      <c r="A25" s="617"/>
      <c r="B25" s="245" t="s">
        <v>509</v>
      </c>
      <c r="C25" s="193">
        <v>0</v>
      </c>
      <c r="D25" s="160">
        <v>160</v>
      </c>
      <c r="E25" s="193">
        <v>3.5</v>
      </c>
      <c r="F25" s="194">
        <f t="shared" ref="F25:F26" si="27">E25*D25</f>
        <v>560</v>
      </c>
      <c r="G25" s="194">
        <v>0</v>
      </c>
      <c r="H25" s="228">
        <f t="shared" si="24"/>
        <v>560</v>
      </c>
      <c r="I25" s="194">
        <v>0</v>
      </c>
      <c r="J25" s="194">
        <f>SUMIFS('Cashbook Wix'!$B$2:$B$7106,'Cashbook Wix'!$A$2:$A$7106,"PT_")</f>
        <v>0</v>
      </c>
      <c r="K25" s="194">
        <v>0</v>
      </c>
      <c r="L25" s="145">
        <f t="shared" si="25"/>
        <v>0</v>
      </c>
      <c r="M25" s="231">
        <f t="shared" si="26"/>
        <v>-560</v>
      </c>
    </row>
    <row r="26" spans="1:13" ht="24.75" customHeight="1" x14ac:dyDescent="0.3">
      <c r="A26" s="617"/>
      <c r="B26" s="145" t="s">
        <v>510</v>
      </c>
      <c r="C26" s="194">
        <v>0</v>
      </c>
      <c r="D26" s="143">
        <v>40</v>
      </c>
      <c r="E26" s="194">
        <v>5</v>
      </c>
      <c r="F26" s="194">
        <f t="shared" si="27"/>
        <v>200</v>
      </c>
      <c r="G26" s="194">
        <v>0</v>
      </c>
      <c r="H26" s="228">
        <f t="shared" si="24"/>
        <v>200</v>
      </c>
      <c r="I26" s="194">
        <v>0</v>
      </c>
      <c r="J26" s="194">
        <f>SUMIFS('Cashbook Wix'!$B$2:$B$7106,'Cashbook Wix'!$A$2:$A$7106,"PT_")</f>
        <v>0</v>
      </c>
      <c r="K26" s="194">
        <v>0</v>
      </c>
      <c r="L26" s="145">
        <f t="shared" si="25"/>
        <v>0</v>
      </c>
      <c r="M26" s="231">
        <f t="shared" si="26"/>
        <v>-200</v>
      </c>
    </row>
    <row r="27" spans="1:13" ht="24.75" customHeight="1" x14ac:dyDescent="0.3">
      <c r="A27" s="623"/>
      <c r="B27" s="232" t="s">
        <v>511</v>
      </c>
      <c r="C27" s="233">
        <f>SUM(C23:C26)</f>
        <v>700</v>
      </c>
      <c r="D27" s="246">
        <f>SUM(D25:D26)</f>
        <v>200</v>
      </c>
      <c r="E27" s="233">
        <v>0</v>
      </c>
      <c r="F27" s="233">
        <f t="shared" ref="F27:M27" si="28">SUM(F23:F26)</f>
        <v>760</v>
      </c>
      <c r="G27" s="233">
        <f t="shared" si="28"/>
        <v>0</v>
      </c>
      <c r="H27" s="236">
        <f t="shared" si="28"/>
        <v>60</v>
      </c>
      <c r="I27" s="233">
        <f t="shared" si="28"/>
        <v>0</v>
      </c>
      <c r="J27" s="233">
        <f t="shared" si="28"/>
        <v>0</v>
      </c>
      <c r="K27" s="233">
        <f t="shared" si="28"/>
        <v>0</v>
      </c>
      <c r="L27" s="236">
        <f t="shared" si="28"/>
        <v>0</v>
      </c>
      <c r="M27" s="237">
        <f t="shared" si="28"/>
        <v>-60</v>
      </c>
    </row>
    <row r="28" spans="1:13" ht="24.75" customHeight="1" x14ac:dyDescent="0.3">
      <c r="A28" s="626" t="s">
        <v>518</v>
      </c>
      <c r="B28" s="243" t="s">
        <v>516</v>
      </c>
      <c r="C28" s="241">
        <v>0</v>
      </c>
      <c r="D28" s="247">
        <v>0</v>
      </c>
      <c r="E28" s="241">
        <v>0</v>
      </c>
      <c r="F28" s="241">
        <v>0</v>
      </c>
      <c r="G28" s="241">
        <v>0</v>
      </c>
      <c r="H28" s="242">
        <f t="shared" ref="H28:H31" si="29">F28+G28-C28</f>
        <v>0</v>
      </c>
      <c r="I28" s="241">
        <f>SUMIFS('Cashbook ING'!$B:$B, 'Cashbook ING'!$A:$A, "PT_")</f>
        <v>0</v>
      </c>
      <c r="J28" s="241">
        <v>0</v>
      </c>
      <c r="K28" s="241">
        <v>0</v>
      </c>
      <c r="L28" s="248">
        <f>J28+K28+I28</f>
        <v>0</v>
      </c>
      <c r="M28" s="244">
        <f t="shared" ref="M28:M31" si="30">L28-H28</f>
        <v>0</v>
      </c>
    </row>
    <row r="29" spans="1:13" ht="24.75" customHeight="1" x14ac:dyDescent="0.3">
      <c r="A29" s="627"/>
      <c r="B29" s="145" t="s">
        <v>508</v>
      </c>
      <c r="C29" s="194">
        <v>700</v>
      </c>
      <c r="D29" s="143">
        <v>0</v>
      </c>
      <c r="E29" s="194">
        <v>0</v>
      </c>
      <c r="F29" s="194">
        <v>0</v>
      </c>
      <c r="G29" s="194">
        <v>0</v>
      </c>
      <c r="H29" s="228">
        <f t="shared" si="29"/>
        <v>-700</v>
      </c>
      <c r="I29" s="194">
        <f>SUMIFS('Cashbook ING'!$B:$B, 'Cashbook ING'!$A:$A, "PT_")</f>
        <v>0</v>
      </c>
      <c r="J29" s="194">
        <v>0</v>
      </c>
      <c r="K29" s="194">
        <v>0</v>
      </c>
      <c r="L29" s="145">
        <f t="shared" ref="L29:L31" si="31">K29+J29+I29</f>
        <v>0</v>
      </c>
      <c r="M29" s="231">
        <f t="shared" si="30"/>
        <v>700</v>
      </c>
    </row>
    <row r="30" spans="1:13" ht="24.75" customHeight="1" x14ac:dyDescent="0.3">
      <c r="A30" s="627"/>
      <c r="B30" s="145" t="s">
        <v>509</v>
      </c>
      <c r="C30" s="194">
        <v>0</v>
      </c>
      <c r="D30" s="143">
        <v>150</v>
      </c>
      <c r="E30" s="194">
        <v>3.5</v>
      </c>
      <c r="F30" s="194">
        <f t="shared" ref="F30:F31" si="32">E30*D30</f>
        <v>525</v>
      </c>
      <c r="G30" s="194">
        <v>0</v>
      </c>
      <c r="H30" s="228">
        <f t="shared" si="29"/>
        <v>525</v>
      </c>
      <c r="I30" s="194">
        <f>SUMIFS('Cashbook ING'!$B:$B, 'Cashbook ING'!$A:$A, "PT_")</f>
        <v>0</v>
      </c>
      <c r="J30" s="194">
        <f>SUMIFS('Cashbook Wix'!$B$2:$B$7106,'Cashbook Wix'!$A$2:$A$7106,"PT_")</f>
        <v>0</v>
      </c>
      <c r="K30" s="194">
        <v>0</v>
      </c>
      <c r="L30" s="145">
        <f t="shared" si="31"/>
        <v>0</v>
      </c>
      <c r="M30" s="231">
        <f t="shared" si="30"/>
        <v>-525</v>
      </c>
    </row>
    <row r="31" spans="1:13" ht="24.75" customHeight="1" x14ac:dyDescent="0.3">
      <c r="A31" s="627"/>
      <c r="B31" s="145" t="s">
        <v>510</v>
      </c>
      <c r="C31" s="194">
        <v>0</v>
      </c>
      <c r="D31" s="143">
        <v>30</v>
      </c>
      <c r="E31" s="194">
        <v>5</v>
      </c>
      <c r="F31" s="194">
        <f t="shared" si="32"/>
        <v>150</v>
      </c>
      <c r="G31" s="194">
        <v>0</v>
      </c>
      <c r="H31" s="228">
        <f t="shared" si="29"/>
        <v>150</v>
      </c>
      <c r="I31" s="194">
        <v>0</v>
      </c>
      <c r="J31" s="194">
        <f>SUMIFS('Cashbook Wix'!$B$2:$B$7106,'Cashbook Wix'!$A$2:$A$7106,"PT_")</f>
        <v>0</v>
      </c>
      <c r="K31" s="194">
        <v>0</v>
      </c>
      <c r="L31" s="145">
        <f t="shared" si="31"/>
        <v>0</v>
      </c>
      <c r="M31" s="231">
        <f t="shared" si="30"/>
        <v>-150</v>
      </c>
    </row>
    <row r="32" spans="1:13" ht="24.75" customHeight="1" x14ac:dyDescent="0.3">
      <c r="A32" s="628"/>
      <c r="B32" s="249" t="s">
        <v>511</v>
      </c>
      <c r="C32" s="250">
        <f t="shared" ref="C32:D32" si="33">SUM(C28:C31)</f>
        <v>700</v>
      </c>
      <c r="D32" s="251">
        <f t="shared" si="33"/>
        <v>180</v>
      </c>
      <c r="E32" s="250">
        <v>0</v>
      </c>
      <c r="F32" s="250">
        <f t="shared" ref="F32:J32" si="34">SUM(F28:F31)</f>
        <v>675</v>
      </c>
      <c r="G32" s="250">
        <f t="shared" si="34"/>
        <v>0</v>
      </c>
      <c r="H32" s="252">
        <f t="shared" si="34"/>
        <v>-25</v>
      </c>
      <c r="I32" s="250">
        <f t="shared" si="34"/>
        <v>0</v>
      </c>
      <c r="J32" s="250">
        <f t="shared" si="34"/>
        <v>0</v>
      </c>
      <c r="K32" s="250">
        <f>SUM(K28)</f>
        <v>0</v>
      </c>
      <c r="L32" s="252">
        <f t="shared" ref="L32:M32" si="35">SUM(L28:L31)</f>
        <v>0</v>
      </c>
      <c r="M32" s="257">
        <f t="shared" si="35"/>
        <v>25</v>
      </c>
    </row>
    <row r="33" spans="1:13" ht="24.75" customHeight="1" x14ac:dyDescent="0.3">
      <c r="A33" s="622" t="s">
        <v>519</v>
      </c>
      <c r="B33" s="243" t="s">
        <v>516</v>
      </c>
      <c r="C33" s="254">
        <v>0</v>
      </c>
      <c r="D33" s="247">
        <v>0</v>
      </c>
      <c r="E33" s="241">
        <v>0</v>
      </c>
      <c r="F33" s="241">
        <f t="shared" ref="F33:F36" si="36">E33*D33</f>
        <v>0</v>
      </c>
      <c r="G33" s="241">
        <v>0</v>
      </c>
      <c r="H33" s="242">
        <f t="shared" ref="H33:H36" si="37">F33+G33-C33</f>
        <v>0</v>
      </c>
      <c r="I33" s="254">
        <f>SUMIFS('Cashbook ING'!$B:$B, 'Cashbook ING'!$A:$A, "PT_")</f>
        <v>0</v>
      </c>
      <c r="J33" s="241">
        <v>0</v>
      </c>
      <c r="K33" s="241">
        <v>0</v>
      </c>
      <c r="L33" s="243">
        <f t="shared" ref="L33:L36" si="38">J33+K33-I33</f>
        <v>0</v>
      </c>
      <c r="M33" s="244">
        <f t="shared" ref="M33:M36" si="39">L33-H33</f>
        <v>0</v>
      </c>
    </row>
    <row r="34" spans="1:13" ht="24.75" customHeight="1" x14ac:dyDescent="0.3">
      <c r="A34" s="617"/>
      <c r="B34" s="145" t="s">
        <v>508</v>
      </c>
      <c r="C34" s="258">
        <v>500</v>
      </c>
      <c r="D34" s="143">
        <v>0</v>
      </c>
      <c r="E34" s="194">
        <v>0</v>
      </c>
      <c r="F34" s="194">
        <f t="shared" si="36"/>
        <v>0</v>
      </c>
      <c r="G34" s="194">
        <v>0</v>
      </c>
      <c r="H34" s="228">
        <f t="shared" si="37"/>
        <v>-500</v>
      </c>
      <c r="I34" s="254">
        <f>SUMIFS('Cashbook ING'!$B:$B, 'Cashbook ING'!$A:$A, "PT_")</f>
        <v>0</v>
      </c>
      <c r="J34" s="241">
        <v>0</v>
      </c>
      <c r="K34" s="194">
        <v>0</v>
      </c>
      <c r="L34" s="145">
        <f t="shared" si="38"/>
        <v>0</v>
      </c>
      <c r="M34" s="231">
        <f t="shared" si="39"/>
        <v>500</v>
      </c>
    </row>
    <row r="35" spans="1:13" ht="24.75" customHeight="1" x14ac:dyDescent="0.3">
      <c r="A35" s="617"/>
      <c r="B35" s="145" t="s">
        <v>509</v>
      </c>
      <c r="C35" s="195">
        <v>0</v>
      </c>
      <c r="D35" s="143">
        <v>120</v>
      </c>
      <c r="E35" s="194">
        <v>3.5</v>
      </c>
      <c r="F35" s="194">
        <f t="shared" si="36"/>
        <v>420</v>
      </c>
      <c r="G35" s="194">
        <v>0</v>
      </c>
      <c r="H35" s="228">
        <f t="shared" si="37"/>
        <v>420</v>
      </c>
      <c r="I35" s="254">
        <f>SUMIFS('Cashbook ING'!$B:$B, 'Cashbook ING'!$A:$A, "PT_")</f>
        <v>0</v>
      </c>
      <c r="J35" s="241">
        <v>0</v>
      </c>
      <c r="K35" s="194">
        <v>0</v>
      </c>
      <c r="L35" s="145">
        <f t="shared" si="38"/>
        <v>0</v>
      </c>
      <c r="M35" s="231">
        <f t="shared" si="39"/>
        <v>-420</v>
      </c>
    </row>
    <row r="36" spans="1:13" ht="24.75" customHeight="1" x14ac:dyDescent="0.3">
      <c r="A36" s="617"/>
      <c r="B36" s="145" t="s">
        <v>510</v>
      </c>
      <c r="C36" s="195">
        <v>0</v>
      </c>
      <c r="D36" s="143">
        <v>20</v>
      </c>
      <c r="E36" s="194">
        <v>5</v>
      </c>
      <c r="F36" s="194">
        <f t="shared" si="36"/>
        <v>100</v>
      </c>
      <c r="G36" s="194">
        <v>0</v>
      </c>
      <c r="H36" s="228">
        <f t="shared" si="37"/>
        <v>100</v>
      </c>
      <c r="I36" s="254">
        <f>SUMIFS('Cashbook ING'!$B:$B, 'Cashbook ING'!$A:$A, "PT_")</f>
        <v>0</v>
      </c>
      <c r="J36" s="194">
        <f>SUMIFS('Cashbook Wix'!$B$2:$B$7106,'Cashbook Wix'!$A$2:$A$7106,"PT_")</f>
        <v>0</v>
      </c>
      <c r="K36" s="194">
        <v>0</v>
      </c>
      <c r="L36" s="145">
        <f t="shared" si="38"/>
        <v>0</v>
      </c>
      <c r="M36" s="231">
        <f t="shared" si="39"/>
        <v>-100</v>
      </c>
    </row>
    <row r="37" spans="1:13" ht="24.75" customHeight="1" x14ac:dyDescent="0.3">
      <c r="A37" s="623"/>
      <c r="B37" s="232" t="s">
        <v>511</v>
      </c>
      <c r="C37" s="256">
        <f t="shared" ref="C37:D37" si="40">SUM(C33:C36)</f>
        <v>500</v>
      </c>
      <c r="D37" s="234">
        <f t="shared" si="40"/>
        <v>140</v>
      </c>
      <c r="E37" s="235">
        <f>(E35*D35)+E36*D36</f>
        <v>520</v>
      </c>
      <c r="F37" s="233">
        <f t="shared" ref="F37:M37" si="41">SUM(F33:F36)</f>
        <v>520</v>
      </c>
      <c r="G37" s="235">
        <f t="shared" si="41"/>
        <v>0</v>
      </c>
      <c r="H37" s="236">
        <f t="shared" si="41"/>
        <v>20</v>
      </c>
      <c r="I37" s="256">
        <f t="shared" si="41"/>
        <v>0</v>
      </c>
      <c r="J37" s="233">
        <f t="shared" si="41"/>
        <v>0</v>
      </c>
      <c r="K37" s="233">
        <f t="shared" si="41"/>
        <v>0</v>
      </c>
      <c r="L37" s="236">
        <f t="shared" si="41"/>
        <v>0</v>
      </c>
      <c r="M37" s="236">
        <f t="shared" si="41"/>
        <v>-20</v>
      </c>
    </row>
    <row r="38" spans="1:13" ht="24.75" customHeight="1" x14ac:dyDescent="0.3">
      <c r="A38" s="624" t="s">
        <v>520</v>
      </c>
      <c r="B38" s="243" t="s">
        <v>516</v>
      </c>
      <c r="C38" s="254">
        <v>1500</v>
      </c>
      <c r="D38" s="247">
        <v>0</v>
      </c>
      <c r="E38" s="241">
        <v>0</v>
      </c>
      <c r="F38" s="241">
        <f t="shared" ref="F38:F39" si="42">E38*D38</f>
        <v>0</v>
      </c>
      <c r="G38" s="241">
        <v>0</v>
      </c>
      <c r="H38" s="242">
        <f t="shared" ref="H38:H45" si="43">F38+G38-C38</f>
        <v>-1500</v>
      </c>
      <c r="I38" s="254">
        <f>SUMIFS('Cashbook ING'!$B:$B, 'Cashbook ING'!$A:$A, "PT_")</f>
        <v>0</v>
      </c>
      <c r="J38" s="241">
        <v>0</v>
      </c>
      <c r="K38" s="241">
        <v>0</v>
      </c>
      <c r="L38" s="243">
        <f t="shared" ref="L38:L45" si="44">J38+K38-I38</f>
        <v>0</v>
      </c>
      <c r="M38" s="244">
        <f t="shared" ref="M38:M45" si="45">L38-H38</f>
        <v>1500</v>
      </c>
    </row>
    <row r="39" spans="1:13" ht="24.75" customHeight="1" x14ac:dyDescent="0.3">
      <c r="A39" s="617"/>
      <c r="B39" s="145" t="s">
        <v>517</v>
      </c>
      <c r="C39" s="195">
        <v>1500</v>
      </c>
      <c r="D39" s="143">
        <v>0</v>
      </c>
      <c r="E39" s="194">
        <v>0</v>
      </c>
      <c r="F39" s="194">
        <f t="shared" si="42"/>
        <v>0</v>
      </c>
      <c r="G39" s="194">
        <v>0</v>
      </c>
      <c r="H39" s="228">
        <f t="shared" si="43"/>
        <v>-1500</v>
      </c>
      <c r="I39" s="195">
        <f>SUMIFS('Cashbook ING'!$B:$B, 'Cashbook ING'!$A:$A, "PT_")</f>
        <v>0</v>
      </c>
      <c r="J39" s="194">
        <v>0</v>
      </c>
      <c r="K39" s="194">
        <v>0</v>
      </c>
      <c r="L39" s="145">
        <f t="shared" si="44"/>
        <v>0</v>
      </c>
      <c r="M39" s="231">
        <f t="shared" si="45"/>
        <v>1500</v>
      </c>
    </row>
    <row r="40" spans="1:13" ht="24.75" customHeight="1" x14ac:dyDescent="0.3">
      <c r="A40" s="617"/>
      <c r="B40" s="145" t="s">
        <v>521</v>
      </c>
      <c r="C40" s="195">
        <v>50</v>
      </c>
      <c r="D40" s="143">
        <v>0</v>
      </c>
      <c r="E40" s="194">
        <v>0</v>
      </c>
      <c r="F40" s="194">
        <v>0</v>
      </c>
      <c r="G40" s="194">
        <v>0</v>
      </c>
      <c r="H40" s="228">
        <f t="shared" si="43"/>
        <v>-50</v>
      </c>
      <c r="I40" s="195">
        <v>0</v>
      </c>
      <c r="J40" s="194">
        <v>0</v>
      </c>
      <c r="K40" s="194">
        <v>0</v>
      </c>
      <c r="L40" s="145">
        <f t="shared" si="44"/>
        <v>0</v>
      </c>
      <c r="M40" s="231">
        <f t="shared" si="45"/>
        <v>50</v>
      </c>
    </row>
    <row r="41" spans="1:13" ht="24.75" customHeight="1" x14ac:dyDescent="0.3">
      <c r="A41" s="617"/>
      <c r="B41" s="145" t="s">
        <v>522</v>
      </c>
      <c r="C41" s="195">
        <v>250</v>
      </c>
      <c r="D41" s="143">
        <v>0</v>
      </c>
      <c r="E41" s="194">
        <v>0</v>
      </c>
      <c r="F41" s="194">
        <v>0</v>
      </c>
      <c r="G41" s="194">
        <v>0</v>
      </c>
      <c r="H41" s="228">
        <f t="shared" si="43"/>
        <v>-250</v>
      </c>
      <c r="I41" s="195">
        <f>SUMIFS('Cashbook ING'!$B:$B, 'Cashbook ING'!$A:$A, "PT_")</f>
        <v>0</v>
      </c>
      <c r="J41" s="194">
        <v>0</v>
      </c>
      <c r="K41" s="194">
        <v>0</v>
      </c>
      <c r="L41" s="145">
        <f t="shared" si="44"/>
        <v>0</v>
      </c>
      <c r="M41" s="231">
        <f t="shared" si="45"/>
        <v>250</v>
      </c>
    </row>
    <row r="42" spans="1:13" ht="24.75" customHeight="1" x14ac:dyDescent="0.3">
      <c r="A42" s="617"/>
      <c r="B42" s="145" t="s">
        <v>523</v>
      </c>
      <c r="C42" s="195">
        <v>0</v>
      </c>
      <c r="D42" s="143">
        <v>0</v>
      </c>
      <c r="E42" s="194">
        <v>0</v>
      </c>
      <c r="F42" s="194">
        <f>3350 - 1000</f>
        <v>2350</v>
      </c>
      <c r="G42" s="194">
        <v>0</v>
      </c>
      <c r="H42" s="228">
        <f t="shared" si="43"/>
        <v>2350</v>
      </c>
      <c r="I42" s="195">
        <f>SUMIFS('Cashbook ING'!$B:$B, 'Cashbook ING'!$A:$A, "PT_")</f>
        <v>0</v>
      </c>
      <c r="J42" s="194">
        <f>SUMIFS('Cashbook ING'!$B:$B, 'Cashbook ING'!$A:$A, "BO_IntroParty_OtherAssociationsShare")</f>
        <v>0</v>
      </c>
      <c r="K42" s="194">
        <v>0</v>
      </c>
      <c r="L42" s="145">
        <f t="shared" si="44"/>
        <v>0</v>
      </c>
      <c r="M42" s="231">
        <f t="shared" si="45"/>
        <v>-2350</v>
      </c>
    </row>
    <row r="43" spans="1:13" ht="24.75" customHeight="1" x14ac:dyDescent="0.3">
      <c r="A43" s="617"/>
      <c r="B43" s="145" t="s">
        <v>524</v>
      </c>
      <c r="C43" s="258">
        <v>250</v>
      </c>
      <c r="D43" s="143">
        <v>0</v>
      </c>
      <c r="E43" s="194">
        <v>0</v>
      </c>
      <c r="F43" s="194">
        <f t="shared" ref="F43:F45" si="46">E43*D43</f>
        <v>0</v>
      </c>
      <c r="G43" s="194">
        <v>0</v>
      </c>
      <c r="H43" s="228">
        <f t="shared" si="43"/>
        <v>-250</v>
      </c>
      <c r="I43" s="195">
        <f>SUMIFS('Cashbook ING'!$B:$B, 'Cashbook ING'!$A:$A, "PT_")</f>
        <v>0</v>
      </c>
      <c r="J43" s="194">
        <v>0</v>
      </c>
      <c r="K43" s="194">
        <v>0</v>
      </c>
      <c r="L43" s="145">
        <f t="shared" si="44"/>
        <v>0</v>
      </c>
      <c r="M43" s="231">
        <f t="shared" si="45"/>
        <v>250</v>
      </c>
    </row>
    <row r="44" spans="1:13" ht="24.75" customHeight="1" x14ac:dyDescent="0.3">
      <c r="A44" s="617"/>
      <c r="B44" s="145" t="s">
        <v>509</v>
      </c>
      <c r="C44" s="195">
        <v>0</v>
      </c>
      <c r="D44" s="143">
        <v>120</v>
      </c>
      <c r="E44" s="194">
        <v>7</v>
      </c>
      <c r="F44" s="194">
        <f t="shared" si="46"/>
        <v>840</v>
      </c>
      <c r="G44" s="194">
        <v>0</v>
      </c>
      <c r="H44" s="228">
        <f t="shared" si="43"/>
        <v>840</v>
      </c>
      <c r="I44" s="195">
        <f>SUMIFS('Cashbook ING'!$B:$B, 'Cashbook ING'!$A:$A, "PT_")</f>
        <v>0</v>
      </c>
      <c r="J44" s="194">
        <f>SUMIFS('Cashbook Wix'!$B$2:$B$7106,'Cashbook Wix'!$A$2:$A$7106,"PT_")</f>
        <v>0</v>
      </c>
      <c r="K44" s="194">
        <v>0</v>
      </c>
      <c r="L44" s="145">
        <f t="shared" si="44"/>
        <v>0</v>
      </c>
      <c r="M44" s="231">
        <f t="shared" si="45"/>
        <v>-840</v>
      </c>
    </row>
    <row r="45" spans="1:13" ht="24.75" customHeight="1" x14ac:dyDescent="0.3">
      <c r="A45" s="617"/>
      <c r="B45" s="145" t="s">
        <v>510</v>
      </c>
      <c r="C45" s="195">
        <v>0</v>
      </c>
      <c r="D45" s="143">
        <v>30</v>
      </c>
      <c r="E45" s="194">
        <v>9</v>
      </c>
      <c r="F45" s="194">
        <f t="shared" si="46"/>
        <v>270</v>
      </c>
      <c r="G45" s="194">
        <v>0</v>
      </c>
      <c r="H45" s="228">
        <f t="shared" si="43"/>
        <v>270</v>
      </c>
      <c r="I45" s="195">
        <v>0</v>
      </c>
      <c r="J45" s="194">
        <f>SUMIFS('Cashbook Wix'!$B$2:$B$7106,'Cashbook Wix'!$A$2:$A$7106,"PT_")</f>
        <v>0</v>
      </c>
      <c r="K45" s="194">
        <v>0</v>
      </c>
      <c r="L45" s="145">
        <f t="shared" si="44"/>
        <v>0</v>
      </c>
      <c r="M45" s="231">
        <f t="shared" si="45"/>
        <v>-270</v>
      </c>
    </row>
    <row r="46" spans="1:13" ht="24.75" customHeight="1" x14ac:dyDescent="0.3">
      <c r="A46" s="623"/>
      <c r="B46" s="232" t="s">
        <v>511</v>
      </c>
      <c r="C46" s="256">
        <f t="shared" ref="C46:D46" si="47">SUM(C38:C45)</f>
        <v>3550</v>
      </c>
      <c r="D46" s="234">
        <f t="shared" si="47"/>
        <v>150</v>
      </c>
      <c r="E46" s="235">
        <f>(E44*D44)+E45*D45</f>
        <v>1110</v>
      </c>
      <c r="F46" s="233">
        <f t="shared" ref="F46:M46" si="48">SUM(F38:F45)</f>
        <v>3460</v>
      </c>
      <c r="G46" s="235">
        <f t="shared" si="48"/>
        <v>0</v>
      </c>
      <c r="H46" s="236">
        <f t="shared" si="48"/>
        <v>-90</v>
      </c>
      <c r="I46" s="256">
        <f t="shared" si="48"/>
        <v>0</v>
      </c>
      <c r="J46" s="233">
        <f t="shared" si="48"/>
        <v>0</v>
      </c>
      <c r="K46" s="233">
        <f t="shared" si="48"/>
        <v>0</v>
      </c>
      <c r="L46" s="236">
        <f t="shared" si="48"/>
        <v>0</v>
      </c>
      <c r="M46" s="236">
        <f t="shared" si="48"/>
        <v>90</v>
      </c>
    </row>
    <row r="47" spans="1:13" ht="24.75" customHeight="1" x14ac:dyDescent="0.3">
      <c r="A47" s="625" t="s">
        <v>525</v>
      </c>
      <c r="B47" s="243" t="s">
        <v>516</v>
      </c>
      <c r="C47" s="254">
        <v>0</v>
      </c>
      <c r="D47" s="247">
        <v>0</v>
      </c>
      <c r="E47" s="241">
        <v>0</v>
      </c>
      <c r="F47" s="241">
        <f t="shared" ref="F47:F50" si="49">E47*D47</f>
        <v>0</v>
      </c>
      <c r="G47" s="241">
        <v>0</v>
      </c>
      <c r="H47" s="242">
        <f t="shared" ref="H47:H50" si="50">F47+G47-C47</f>
        <v>0</v>
      </c>
      <c r="I47" s="254">
        <f>SUMIFS('Cashbook ING'!$B:$B, 'Cashbook ING'!$A:$A, "PT_")</f>
        <v>0</v>
      </c>
      <c r="J47" s="241">
        <v>0</v>
      </c>
      <c r="K47" s="241">
        <v>0</v>
      </c>
      <c r="L47" s="243">
        <f t="shared" ref="L47:L50" si="51">J47+K47-I47</f>
        <v>0</v>
      </c>
      <c r="M47" s="244">
        <f t="shared" ref="M47:M50" si="52">L47-H47</f>
        <v>0</v>
      </c>
    </row>
    <row r="48" spans="1:13" ht="24.75" customHeight="1" x14ac:dyDescent="0.3">
      <c r="A48" s="617"/>
      <c r="B48" s="145" t="s">
        <v>508</v>
      </c>
      <c r="C48" s="258">
        <v>500</v>
      </c>
      <c r="D48" s="143">
        <v>0</v>
      </c>
      <c r="E48" s="194">
        <v>0</v>
      </c>
      <c r="F48" s="194">
        <f t="shared" si="49"/>
        <v>0</v>
      </c>
      <c r="G48" s="194">
        <v>0</v>
      </c>
      <c r="H48" s="228">
        <f t="shared" si="50"/>
        <v>-500</v>
      </c>
      <c r="I48" s="195">
        <f>SUMIFS('Cashbook ING'!$B:$B, 'Cashbook ING'!$A:$A, "PT_")</f>
        <v>0</v>
      </c>
      <c r="J48" s="194">
        <v>0</v>
      </c>
      <c r="K48" s="194">
        <v>0</v>
      </c>
      <c r="L48" s="145">
        <f t="shared" si="51"/>
        <v>0</v>
      </c>
      <c r="M48" s="231">
        <f t="shared" si="52"/>
        <v>500</v>
      </c>
    </row>
    <row r="49" spans="1:14" ht="24.75" customHeight="1" x14ac:dyDescent="0.3">
      <c r="A49" s="617"/>
      <c r="B49" s="145" t="s">
        <v>509</v>
      </c>
      <c r="C49" s="195">
        <v>0</v>
      </c>
      <c r="D49" s="143">
        <v>0</v>
      </c>
      <c r="E49" s="194">
        <v>0</v>
      </c>
      <c r="F49" s="194">
        <f t="shared" si="49"/>
        <v>0</v>
      </c>
      <c r="G49" s="194">
        <v>0</v>
      </c>
      <c r="H49" s="228">
        <f t="shared" si="50"/>
        <v>0</v>
      </c>
      <c r="I49" s="195">
        <f>SUMIFS('Cashbook ING'!$B:$B, 'Cashbook ING'!$A:$A, "PT_")</f>
        <v>0</v>
      </c>
      <c r="J49" s="194">
        <f>SUMIFS('Cashbook Wix'!$B$2:$B$7106,'Cashbook Wix'!$A$2:$A$7106,"PT_")</f>
        <v>0</v>
      </c>
      <c r="K49" s="194">
        <v>0</v>
      </c>
      <c r="L49" s="145">
        <f t="shared" si="51"/>
        <v>0</v>
      </c>
      <c r="M49" s="231">
        <f t="shared" si="52"/>
        <v>0</v>
      </c>
    </row>
    <row r="50" spans="1:14" ht="24.75" customHeight="1" x14ac:dyDescent="0.3">
      <c r="A50" s="617"/>
      <c r="B50" s="145" t="s">
        <v>510</v>
      </c>
      <c r="C50" s="195">
        <v>0</v>
      </c>
      <c r="D50" s="143">
        <v>0</v>
      </c>
      <c r="E50" s="194">
        <v>0</v>
      </c>
      <c r="F50" s="194">
        <f t="shared" si="49"/>
        <v>0</v>
      </c>
      <c r="G50" s="194">
        <v>0</v>
      </c>
      <c r="H50" s="228">
        <f t="shared" si="50"/>
        <v>0</v>
      </c>
      <c r="I50" s="195">
        <v>0</v>
      </c>
      <c r="J50" s="194">
        <f>SUMIFS('Cashbook Wix'!$B$2:$B$7106,'Cashbook Wix'!$A$2:$A$7106,"PT_")</f>
        <v>0</v>
      </c>
      <c r="K50" s="194">
        <v>0</v>
      </c>
      <c r="L50" s="145">
        <f t="shared" si="51"/>
        <v>0</v>
      </c>
      <c r="M50" s="231">
        <f t="shared" si="52"/>
        <v>0</v>
      </c>
    </row>
    <row r="51" spans="1:14" ht="24.75" customHeight="1" x14ac:dyDescent="0.3">
      <c r="A51" s="607"/>
      <c r="B51" s="259" t="s">
        <v>511</v>
      </c>
      <c r="C51" s="260">
        <f t="shared" ref="C51:D51" si="53">SUM(C47:C50)</f>
        <v>500</v>
      </c>
      <c r="D51" s="261">
        <f t="shared" si="53"/>
        <v>0</v>
      </c>
      <c r="E51" s="262">
        <f>(E49*D49)+E50*D50</f>
        <v>0</v>
      </c>
      <c r="F51" s="263">
        <f t="shared" ref="F51:M51" si="54">SUM(F47:F50)</f>
        <v>0</v>
      </c>
      <c r="G51" s="262">
        <f t="shared" si="54"/>
        <v>0</v>
      </c>
      <c r="H51" s="264">
        <f t="shared" si="54"/>
        <v>-500</v>
      </c>
      <c r="I51" s="260">
        <f t="shared" si="54"/>
        <v>0</v>
      </c>
      <c r="J51" s="263">
        <f t="shared" si="54"/>
        <v>0</v>
      </c>
      <c r="K51" s="263">
        <f t="shared" si="54"/>
        <v>0</v>
      </c>
      <c r="L51" s="264">
        <f t="shared" si="54"/>
        <v>0</v>
      </c>
      <c r="M51" s="264">
        <f t="shared" si="54"/>
        <v>500</v>
      </c>
    </row>
    <row r="52" spans="1:14" ht="24.75" customHeight="1" x14ac:dyDescent="0.35">
      <c r="A52" s="265"/>
      <c r="B52" s="220" t="s">
        <v>450</v>
      </c>
      <c r="C52" s="266">
        <f t="shared" ref="C52:H52" si="55">SUM(C12+C46+C37+C32+C27+C22+C17+C7+C51)</f>
        <v>7200</v>
      </c>
      <c r="D52" s="266">
        <f t="shared" si="55"/>
        <v>1000</v>
      </c>
      <c r="E52" s="266">
        <f t="shared" si="55"/>
        <v>1920</v>
      </c>
      <c r="F52" s="266">
        <f t="shared" si="55"/>
        <v>6485</v>
      </c>
      <c r="G52" s="266">
        <f t="shared" si="55"/>
        <v>0</v>
      </c>
      <c r="H52" s="266">
        <f t="shared" si="55"/>
        <v>-715</v>
      </c>
      <c r="I52" s="267">
        <f t="shared" ref="I52:M52" si="56">SUM(I12+I7+I17+I22+I27+I32+I37+I46+I51)</f>
        <v>-228</v>
      </c>
      <c r="J52" s="266">
        <f t="shared" si="56"/>
        <v>76.169999999999987</v>
      </c>
      <c r="K52" s="266">
        <f t="shared" si="56"/>
        <v>0</v>
      </c>
      <c r="L52" s="266">
        <f t="shared" si="56"/>
        <v>-151.82999999999998</v>
      </c>
      <c r="M52" s="266">
        <f t="shared" si="56"/>
        <v>563.17000000000007</v>
      </c>
      <c r="N52" s="268"/>
    </row>
    <row r="53" spans="1:14" ht="14.25" customHeight="1" x14ac:dyDescent="0.2">
      <c r="A53" s="10"/>
    </row>
    <row r="55" spans="1:14" ht="14.25" customHeight="1" x14ac:dyDescent="0.2"/>
    <row r="56" spans="1:14" ht="14.25" customHeight="1" x14ac:dyDescent="0.2"/>
    <row r="57" spans="1:14" ht="14.25" customHeight="1" x14ac:dyDescent="0.2"/>
    <row r="58" spans="1:14" ht="14.25" customHeight="1" x14ac:dyDescent="0.2"/>
    <row r="59" spans="1:14" ht="14.25" customHeight="1" x14ac:dyDescent="0.2"/>
    <row r="60" spans="1:14" ht="14.25" customHeight="1" x14ac:dyDescent="0.2"/>
    <row r="61" spans="1:14" ht="14.25" customHeight="1" x14ac:dyDescent="0.2"/>
    <row r="62" spans="1:14" ht="14.25" customHeight="1" x14ac:dyDescent="0.2"/>
    <row r="63" spans="1:14" ht="14.25" customHeight="1" x14ac:dyDescent="0.2"/>
    <row r="64" spans="1:1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3">
    <mergeCell ref="I1:M1"/>
    <mergeCell ref="A3:A7"/>
    <mergeCell ref="A18:A22"/>
    <mergeCell ref="A38:A46"/>
    <mergeCell ref="A47:A51"/>
    <mergeCell ref="A33:A37"/>
    <mergeCell ref="A28:A32"/>
    <mergeCell ref="A23:A27"/>
    <mergeCell ref="A8:A12"/>
    <mergeCell ref="A13:A17"/>
    <mergeCell ref="A1:A2"/>
    <mergeCell ref="B1:B2"/>
    <mergeCell ref="C1:H1"/>
  </mergeCells>
  <conditionalFormatting sqref="A2:A4 C3:L11 B3:B51 M3:M51 C13:L26 C28:C45 D28:L51 C47:C51">
    <cfRule type="cellIs" dxfId="121" priority="1" operator="lessThan">
      <formula>0</formula>
    </cfRule>
  </conditionalFormatting>
  <conditionalFormatting sqref="A38 B38:M46">
    <cfRule type="cellIs" dxfId="120" priority="4" operator="lessThan">
      <formula>0</formula>
    </cfRule>
  </conditionalFormatting>
  <conditionalFormatting sqref="A1:C1 I1:K1 L1:M2 H2 A18:G18 I18:M18 H18:H21 A52:M52">
    <cfRule type="cellIs" dxfId="119" priority="2" operator="lessThan">
      <formula>0</formula>
    </cfRule>
  </conditionalFormatting>
  <conditionalFormatting sqref="A33:H33 K33:M33 J33:J35 I33:I36 A47:M47">
    <cfRule type="cellIs" dxfId="118" priority="3" operator="lessThan">
      <formula>0</formula>
    </cfRule>
  </conditionalFormatting>
  <conditionalFormatting sqref="B12:L12">
    <cfRule type="cellIs" dxfId="117" priority="5" operator="lessThan">
      <formula>0</formula>
    </cfRule>
  </conditionalFormatting>
  <conditionalFormatting sqref="B27:L27">
    <cfRule type="cellIs" dxfId="116" priority="6" operator="lessThan">
      <formula>0</formula>
    </cfRule>
  </conditionalFormatting>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A0C4E3"/>
  </sheetPr>
  <dimension ref="A1:Z1000"/>
  <sheetViews>
    <sheetView zoomScale="40" zoomScaleNormal="55" workbookViewId="0">
      <pane xSplit="1" ySplit="2" topLeftCell="B28" activePane="bottomRight" state="frozen"/>
      <selection pane="topRight" activeCell="B1" sqref="B1"/>
      <selection pane="bottomLeft" activeCell="A3" sqref="A3"/>
      <selection pane="bottomRight" activeCell="A48" sqref="A48:A52"/>
    </sheetView>
  </sheetViews>
  <sheetFormatPr baseColWidth="10" defaultColWidth="14.5" defaultRowHeight="15" customHeight="1" x14ac:dyDescent="0.2"/>
  <cols>
    <col min="1" max="1" width="50.83203125" customWidth="1"/>
    <col min="2" max="2" width="44.33203125" customWidth="1"/>
    <col min="3" max="3" width="25.83203125" customWidth="1"/>
    <col min="4" max="4" width="32.5" customWidth="1"/>
    <col min="5" max="5" width="33" customWidth="1"/>
    <col min="6" max="6" width="25.83203125" customWidth="1"/>
    <col min="7" max="7" width="35.33203125" customWidth="1"/>
    <col min="8" max="10" width="25.83203125" customWidth="1"/>
    <col min="11" max="11" width="34.5" customWidth="1"/>
    <col min="12" max="12" width="25.83203125" customWidth="1"/>
    <col min="13" max="13" width="35.5" customWidth="1"/>
    <col min="14" max="26" width="11.5" customWidth="1"/>
  </cols>
  <sheetData>
    <row r="1" spans="1:26" ht="27.75" customHeight="1" x14ac:dyDescent="0.25">
      <c r="A1" s="606" t="s">
        <v>459</v>
      </c>
      <c r="B1" s="269"/>
      <c r="C1" s="609" t="s">
        <v>379</v>
      </c>
      <c r="D1" s="610"/>
      <c r="E1" s="610"/>
      <c r="F1" s="610"/>
      <c r="G1" s="610"/>
      <c r="H1" s="611"/>
      <c r="I1" s="612" t="s">
        <v>503</v>
      </c>
      <c r="J1" s="610"/>
      <c r="K1" s="610"/>
      <c r="L1" s="610"/>
      <c r="M1" s="611"/>
      <c r="N1" s="270"/>
      <c r="O1" s="270"/>
      <c r="P1" s="270"/>
      <c r="Q1" s="270"/>
      <c r="R1" s="270"/>
      <c r="S1" s="270"/>
      <c r="T1" s="270"/>
      <c r="U1" s="270"/>
      <c r="V1" s="270"/>
      <c r="W1" s="270"/>
      <c r="X1" s="270"/>
      <c r="Y1" s="270"/>
      <c r="Z1" s="270"/>
    </row>
    <row r="2" spans="1:26" ht="27.75" customHeight="1" x14ac:dyDescent="0.3">
      <c r="A2" s="607"/>
      <c r="B2" s="271" t="s">
        <v>460</v>
      </c>
      <c r="C2" s="129" t="s">
        <v>381</v>
      </c>
      <c r="D2" s="130" t="s">
        <v>526</v>
      </c>
      <c r="E2" s="131" t="s">
        <v>527</v>
      </c>
      <c r="F2" s="132" t="s">
        <v>384</v>
      </c>
      <c r="G2" s="133" t="s">
        <v>456</v>
      </c>
      <c r="H2" s="134" t="s">
        <v>386</v>
      </c>
      <c r="I2" s="135" t="s">
        <v>381</v>
      </c>
      <c r="J2" s="136" t="s">
        <v>384</v>
      </c>
      <c r="K2" s="137" t="s">
        <v>456</v>
      </c>
      <c r="L2" s="138" t="s">
        <v>386</v>
      </c>
      <c r="M2" s="139" t="s">
        <v>457</v>
      </c>
      <c r="N2" s="272"/>
      <c r="O2" s="272"/>
      <c r="P2" s="272"/>
      <c r="Q2" s="272"/>
      <c r="R2" s="272"/>
      <c r="S2" s="270"/>
      <c r="T2" s="270"/>
      <c r="U2" s="270"/>
      <c r="V2" s="270"/>
      <c r="W2" s="270"/>
      <c r="X2" s="270"/>
      <c r="Y2" s="270"/>
      <c r="Z2" s="270"/>
    </row>
    <row r="3" spans="1:26" ht="27.75" customHeight="1" x14ac:dyDescent="0.3">
      <c r="A3" s="633" t="s">
        <v>528</v>
      </c>
      <c r="B3" s="273" t="s">
        <v>529</v>
      </c>
      <c r="C3" s="274">
        <v>50</v>
      </c>
      <c r="D3" s="227">
        <v>0</v>
      </c>
      <c r="E3" s="226">
        <v>0</v>
      </c>
      <c r="F3" s="226">
        <v>0</v>
      </c>
      <c r="G3" s="275">
        <v>50</v>
      </c>
      <c r="H3" s="276">
        <f t="shared" ref="H3:H5" si="0">F3+G3-C3</f>
        <v>0</v>
      </c>
      <c r="I3" s="226">
        <f>SUMIFS('Cashbook ING'!$B:$B, 'Cashbook ING'!$A:$A, "AC_")</f>
        <v>0</v>
      </c>
      <c r="J3" s="226">
        <v>0</v>
      </c>
      <c r="K3" s="277">
        <v>0</v>
      </c>
      <c r="L3" s="228">
        <f t="shared" ref="L3:L5" si="1">J3+K3+I3</f>
        <v>0</v>
      </c>
      <c r="M3" s="145">
        <f t="shared" ref="M3:M5" si="2">L3-H3</f>
        <v>0</v>
      </c>
      <c r="N3" s="270"/>
      <c r="O3" s="270"/>
      <c r="P3" s="270"/>
      <c r="Q3" s="270"/>
      <c r="R3" s="270"/>
      <c r="S3" s="270"/>
      <c r="T3" s="270"/>
      <c r="U3" s="270"/>
      <c r="V3" s="270"/>
      <c r="W3" s="270"/>
      <c r="X3" s="270"/>
      <c r="Y3" s="270"/>
      <c r="Z3" s="270"/>
    </row>
    <row r="4" spans="1:26" ht="27.75" customHeight="1" x14ac:dyDescent="0.3">
      <c r="A4" s="620"/>
      <c r="B4" s="278" t="s">
        <v>509</v>
      </c>
      <c r="C4" s="194">
        <v>0</v>
      </c>
      <c r="D4" s="143">
        <v>0</v>
      </c>
      <c r="E4" s="194">
        <v>0</v>
      </c>
      <c r="F4" s="194">
        <f t="shared" ref="F4:F5" si="3">E4*D4</f>
        <v>0</v>
      </c>
      <c r="G4" s="194">
        <v>0</v>
      </c>
      <c r="H4" s="228">
        <f t="shared" si="0"/>
        <v>0</v>
      </c>
      <c r="I4" s="194">
        <v>0</v>
      </c>
      <c r="J4" s="194">
        <f>SUMIFS('Cashbook Wix'!$B$2:$B$7106,'Cashbook Wix'!$A$2:$A$7106,"AC_")</f>
        <v>0</v>
      </c>
      <c r="K4" s="194">
        <v>0</v>
      </c>
      <c r="L4" s="228">
        <f t="shared" si="1"/>
        <v>0</v>
      </c>
      <c r="M4" s="145">
        <f t="shared" si="2"/>
        <v>0</v>
      </c>
      <c r="N4" s="270"/>
      <c r="O4" s="270"/>
      <c r="P4" s="270"/>
      <c r="Q4" s="270"/>
      <c r="R4" s="270"/>
      <c r="S4" s="270"/>
      <c r="T4" s="270"/>
      <c r="U4" s="270"/>
      <c r="V4" s="270"/>
      <c r="W4" s="270"/>
      <c r="X4" s="270"/>
      <c r="Y4" s="270"/>
      <c r="Z4" s="270"/>
    </row>
    <row r="5" spans="1:26" ht="27.75" customHeight="1" x14ac:dyDescent="0.3">
      <c r="A5" s="620"/>
      <c r="B5" s="278" t="s">
        <v>510</v>
      </c>
      <c r="C5" s="194">
        <v>0</v>
      </c>
      <c r="D5" s="143">
        <v>0</v>
      </c>
      <c r="E5" s="194">
        <v>0</v>
      </c>
      <c r="F5" s="194">
        <f t="shared" si="3"/>
        <v>0</v>
      </c>
      <c r="G5" s="194">
        <v>0</v>
      </c>
      <c r="H5" s="228">
        <f t="shared" si="0"/>
        <v>0</v>
      </c>
      <c r="I5" s="194">
        <v>0</v>
      </c>
      <c r="J5" s="194">
        <f>SUMIFS('Cashbook Wix'!$B$2:$B$7106,'Cashbook Wix'!$A$2:$A$7106,"AC_")</f>
        <v>0</v>
      </c>
      <c r="K5" s="194">
        <v>0</v>
      </c>
      <c r="L5" s="228">
        <f t="shared" si="1"/>
        <v>0</v>
      </c>
      <c r="M5" s="145">
        <f t="shared" si="2"/>
        <v>0</v>
      </c>
      <c r="N5" s="270"/>
      <c r="O5" s="270"/>
      <c r="P5" s="270"/>
      <c r="Q5" s="270"/>
      <c r="R5" s="270"/>
      <c r="S5" s="270"/>
      <c r="T5" s="270"/>
      <c r="U5" s="270"/>
      <c r="V5" s="270"/>
      <c r="W5" s="270"/>
      <c r="X5" s="270"/>
      <c r="Y5" s="270"/>
      <c r="Z5" s="270"/>
    </row>
    <row r="6" spans="1:26" ht="27.75" customHeight="1" x14ac:dyDescent="0.3">
      <c r="A6" s="621"/>
      <c r="B6" s="279" t="s">
        <v>511</v>
      </c>
      <c r="C6" s="235">
        <f>SUM(C3)</f>
        <v>50</v>
      </c>
      <c r="D6" s="234">
        <f>SUM(D3:D5)</f>
        <v>0</v>
      </c>
      <c r="E6" s="235">
        <v>0</v>
      </c>
      <c r="F6" s="233">
        <f t="shared" ref="F6:H6" si="4">SUM(F3:F5)</f>
        <v>0</v>
      </c>
      <c r="G6" s="233">
        <f t="shared" si="4"/>
        <v>50</v>
      </c>
      <c r="H6" s="236">
        <f t="shared" si="4"/>
        <v>0</v>
      </c>
      <c r="I6" s="235">
        <f>SUM(I3)</f>
        <v>0</v>
      </c>
      <c r="J6" s="233">
        <f t="shared" ref="J6:M6" si="5">SUM(J3:J5)</f>
        <v>0</v>
      </c>
      <c r="K6" s="233">
        <f t="shared" si="5"/>
        <v>0</v>
      </c>
      <c r="L6" s="236">
        <f t="shared" si="5"/>
        <v>0</v>
      </c>
      <c r="M6" s="232">
        <f t="shared" si="5"/>
        <v>0</v>
      </c>
      <c r="N6" s="280"/>
      <c r="O6" s="270"/>
      <c r="P6" s="270"/>
      <c r="Q6" s="270"/>
      <c r="R6" s="270"/>
      <c r="S6" s="270"/>
      <c r="T6" s="270"/>
      <c r="U6" s="270"/>
      <c r="V6" s="270"/>
      <c r="W6" s="270"/>
      <c r="X6" s="270"/>
      <c r="Y6" s="270"/>
      <c r="Z6" s="270"/>
    </row>
    <row r="7" spans="1:26" ht="27.75" customHeight="1" x14ac:dyDescent="0.3">
      <c r="A7" s="634" t="s">
        <v>530</v>
      </c>
      <c r="B7" s="281" t="s">
        <v>531</v>
      </c>
      <c r="C7" s="241">
        <v>1500</v>
      </c>
      <c r="D7" s="247">
        <v>0</v>
      </c>
      <c r="E7" s="241">
        <v>0</v>
      </c>
      <c r="F7" s="241">
        <v>0</v>
      </c>
      <c r="G7" s="178">
        <v>1500</v>
      </c>
      <c r="H7" s="242">
        <f t="shared" ref="H7:H10" si="6">F7+G7-C7</f>
        <v>0</v>
      </c>
      <c r="I7" s="241">
        <f>SUMIFS('Cashbook ING'!$B:$B, 'Cashbook ING'!$A:$A, "AC_Rhetoric_Location")*1</f>
        <v>-1521.25</v>
      </c>
      <c r="J7" s="241">
        <v>0</v>
      </c>
      <c r="K7" s="241">
        <v>0</v>
      </c>
      <c r="L7" s="242">
        <f t="shared" ref="L7:L10" si="7">J7+K7+I7</f>
        <v>-1521.25</v>
      </c>
      <c r="M7" s="243">
        <f t="shared" ref="M7:M10" si="8">L7-H7</f>
        <v>-1521.25</v>
      </c>
      <c r="N7" s="270"/>
      <c r="O7" s="270"/>
      <c r="P7" s="270"/>
      <c r="Q7" s="270"/>
      <c r="R7" s="270"/>
      <c r="S7" s="270"/>
      <c r="T7" s="270"/>
      <c r="U7" s="270"/>
      <c r="V7" s="270"/>
      <c r="W7" s="270"/>
      <c r="X7" s="270"/>
      <c r="Y7" s="270"/>
      <c r="Z7" s="270"/>
    </row>
    <row r="8" spans="1:26" ht="27.75" customHeight="1" x14ac:dyDescent="0.3">
      <c r="A8" s="627"/>
      <c r="B8" s="278" t="s">
        <v>532</v>
      </c>
      <c r="C8" s="194">
        <v>5</v>
      </c>
      <c r="D8" s="143">
        <v>0</v>
      </c>
      <c r="E8" s="194">
        <v>0</v>
      </c>
      <c r="F8" s="194">
        <v>0</v>
      </c>
      <c r="G8" s="194">
        <v>0</v>
      </c>
      <c r="H8" s="228">
        <f t="shared" si="6"/>
        <v>-5</v>
      </c>
      <c r="I8" s="194">
        <f>SUMIFS('Cashbook ING'!$B:$B, 'Cashbook ING'!$A:$A, "AC_")*1</f>
        <v>0</v>
      </c>
      <c r="J8" s="194">
        <v>0</v>
      </c>
      <c r="K8" s="194">
        <v>0</v>
      </c>
      <c r="L8" s="228">
        <f t="shared" si="7"/>
        <v>0</v>
      </c>
      <c r="M8" s="145">
        <f t="shared" si="8"/>
        <v>5</v>
      </c>
      <c r="N8" s="270"/>
      <c r="O8" s="270"/>
      <c r="P8" s="270"/>
      <c r="Q8" s="270"/>
      <c r="R8" s="270"/>
      <c r="S8" s="270"/>
      <c r="T8" s="270"/>
      <c r="U8" s="270"/>
      <c r="V8" s="270"/>
      <c r="W8" s="270"/>
      <c r="X8" s="270"/>
      <c r="Y8" s="270"/>
      <c r="Z8" s="270"/>
    </row>
    <row r="9" spans="1:26" ht="27.75" customHeight="1" x14ac:dyDescent="0.3">
      <c r="A9" s="627"/>
      <c r="B9" s="278" t="s">
        <v>509</v>
      </c>
      <c r="C9" s="194">
        <v>0</v>
      </c>
      <c r="D9" s="143">
        <v>200</v>
      </c>
      <c r="E9" s="194">
        <v>0</v>
      </c>
      <c r="F9" s="194">
        <f t="shared" ref="F9:F10" si="9">E9*D9</f>
        <v>0</v>
      </c>
      <c r="G9" s="194">
        <v>0</v>
      </c>
      <c r="H9" s="228">
        <f t="shared" si="6"/>
        <v>0</v>
      </c>
      <c r="I9" s="194">
        <v>0</v>
      </c>
      <c r="J9" s="194">
        <f>SUMIFS('Cashbook Wix'!$B$2:$B$7106,'Cashbook Wix'!$A$2:$A$7106,"AC_")</f>
        <v>0</v>
      </c>
      <c r="K9" s="194">
        <v>0</v>
      </c>
      <c r="L9" s="228">
        <f t="shared" si="7"/>
        <v>0</v>
      </c>
      <c r="M9" s="228">
        <f t="shared" si="8"/>
        <v>0</v>
      </c>
      <c r="N9" s="270"/>
      <c r="O9" s="270"/>
      <c r="P9" s="270"/>
      <c r="Q9" s="270"/>
      <c r="R9" s="270"/>
      <c r="S9" s="270"/>
      <c r="T9" s="270"/>
      <c r="U9" s="270"/>
      <c r="V9" s="270"/>
      <c r="W9" s="270"/>
      <c r="X9" s="270"/>
      <c r="Y9" s="270"/>
      <c r="Z9" s="270"/>
    </row>
    <row r="10" spans="1:26" ht="27.75" customHeight="1" x14ac:dyDescent="0.3">
      <c r="A10" s="627"/>
      <c r="B10" s="278" t="s">
        <v>510</v>
      </c>
      <c r="C10" s="194">
        <v>0</v>
      </c>
      <c r="D10" s="143">
        <v>0</v>
      </c>
      <c r="E10" s="194">
        <v>0</v>
      </c>
      <c r="F10" s="194">
        <f t="shared" si="9"/>
        <v>0</v>
      </c>
      <c r="G10" s="194">
        <v>0</v>
      </c>
      <c r="H10" s="228">
        <f t="shared" si="6"/>
        <v>0</v>
      </c>
      <c r="I10" s="194">
        <f>SUMIFS('Cashbook ING'!$B:$B, 'Cashbook ING'!$A:$A, "AC_")*-1</f>
        <v>0</v>
      </c>
      <c r="J10" s="194">
        <f>SUMIFS('Cashbook Wix'!$B$2:$B$7106,'Cashbook Wix'!$A$2:$A$7106,"AC_")</f>
        <v>0</v>
      </c>
      <c r="K10" s="194">
        <v>0</v>
      </c>
      <c r="L10" s="228">
        <f t="shared" si="7"/>
        <v>0</v>
      </c>
      <c r="M10" s="228">
        <f t="shared" si="8"/>
        <v>0</v>
      </c>
      <c r="N10" s="270"/>
      <c r="O10" s="270"/>
      <c r="P10" s="270"/>
      <c r="Q10" s="270"/>
      <c r="R10" s="270"/>
      <c r="S10" s="270"/>
      <c r="T10" s="270"/>
      <c r="U10" s="270"/>
      <c r="V10" s="270"/>
      <c r="W10" s="270"/>
      <c r="X10" s="270"/>
      <c r="Y10" s="270"/>
      <c r="Z10" s="270"/>
    </row>
    <row r="11" spans="1:26" ht="27.75" customHeight="1" x14ac:dyDescent="0.3">
      <c r="A11" s="628"/>
      <c r="B11" s="279" t="s">
        <v>511</v>
      </c>
      <c r="C11" s="235">
        <f t="shared" ref="C11:D11" si="10">SUM(C7:C10)</f>
        <v>1505</v>
      </c>
      <c r="D11" s="234">
        <f t="shared" si="10"/>
        <v>200</v>
      </c>
      <c r="E11" s="235">
        <v>0</v>
      </c>
      <c r="F11" s="235">
        <f t="shared" ref="F11:H11" si="11">SUM(F7:F10)</f>
        <v>0</v>
      </c>
      <c r="G11" s="235">
        <f t="shared" si="11"/>
        <v>1500</v>
      </c>
      <c r="H11" s="232">
        <f t="shared" si="11"/>
        <v>-5</v>
      </c>
      <c r="I11" s="235">
        <f>SUM(I7:I9)</f>
        <v>-1521.25</v>
      </c>
      <c r="J11" s="235">
        <f t="shared" ref="J11:M11" si="12">SUM(J7:J10)</f>
        <v>0</v>
      </c>
      <c r="K11" s="235">
        <f t="shared" si="12"/>
        <v>0</v>
      </c>
      <c r="L11" s="232">
        <f t="shared" si="12"/>
        <v>-1521.25</v>
      </c>
      <c r="M11" s="232">
        <f t="shared" si="12"/>
        <v>-1516.25</v>
      </c>
      <c r="N11" s="280"/>
      <c r="O11" s="270"/>
      <c r="P11" s="270"/>
      <c r="Q11" s="270"/>
      <c r="R11" s="270"/>
      <c r="S11" s="270"/>
      <c r="T11" s="270"/>
      <c r="U11" s="270"/>
      <c r="V11" s="270"/>
      <c r="W11" s="270"/>
      <c r="X11" s="270"/>
      <c r="Y11" s="270"/>
      <c r="Z11" s="270"/>
    </row>
    <row r="12" spans="1:26" ht="27.75" customHeight="1" x14ac:dyDescent="0.3">
      <c r="A12" s="634" t="s">
        <v>533</v>
      </c>
      <c r="B12" s="281" t="s">
        <v>534</v>
      </c>
      <c r="C12" s="241">
        <v>20</v>
      </c>
      <c r="D12" s="247">
        <v>0</v>
      </c>
      <c r="E12" s="241">
        <v>0</v>
      </c>
      <c r="F12" s="241">
        <v>0</v>
      </c>
      <c r="G12" s="239">
        <v>0</v>
      </c>
      <c r="H12" s="242">
        <f t="shared" ref="H12:H14" si="13">F12+G12-C12</f>
        <v>-20</v>
      </c>
      <c r="I12" s="241">
        <f>SUMIFS('Cashbook ING'!$B:$B, 'Cashbook ING'!$A:$A, "AC_")</f>
        <v>0</v>
      </c>
      <c r="J12" s="241">
        <v>0</v>
      </c>
      <c r="K12" s="241">
        <v>0</v>
      </c>
      <c r="L12" s="242">
        <f t="shared" ref="L12:L14" si="14">J12+K12+I12</f>
        <v>0</v>
      </c>
      <c r="M12" s="282">
        <f t="shared" ref="M12:M14" si="15">L12-H12</f>
        <v>20</v>
      </c>
      <c r="N12" s="270"/>
      <c r="O12" s="270"/>
      <c r="P12" s="270"/>
      <c r="Q12" s="270"/>
      <c r="R12" s="270"/>
      <c r="S12" s="270"/>
      <c r="T12" s="270"/>
      <c r="U12" s="270"/>
      <c r="V12" s="270"/>
      <c r="W12" s="270"/>
      <c r="X12" s="270"/>
      <c r="Y12" s="270"/>
      <c r="Z12" s="270"/>
    </row>
    <row r="13" spans="1:26" ht="27.75" customHeight="1" x14ac:dyDescent="0.3">
      <c r="A13" s="627"/>
      <c r="B13" s="278" t="s">
        <v>509</v>
      </c>
      <c r="C13" s="194">
        <v>0</v>
      </c>
      <c r="D13" s="143">
        <v>25</v>
      </c>
      <c r="E13" s="194">
        <v>1.5</v>
      </c>
      <c r="F13" s="194">
        <f t="shared" ref="F13:F14" si="16">D13*E13</f>
        <v>37.5</v>
      </c>
      <c r="G13" s="194">
        <v>0</v>
      </c>
      <c r="H13" s="228">
        <f t="shared" si="13"/>
        <v>37.5</v>
      </c>
      <c r="I13" s="194">
        <f>SUMIFS('Cashbook ING'!$B:$B, 'Cashbook ING'!$A:$A, "AC_")*-1</f>
        <v>0</v>
      </c>
      <c r="J13" s="193">
        <f>SUMIFS('Cashbook Wix'!$B$2:$B$7106,'Cashbook Wix'!$A$2:$A$7106,"AC_")</f>
        <v>0</v>
      </c>
      <c r="K13" s="194">
        <v>0</v>
      </c>
      <c r="L13" s="228">
        <f t="shared" si="14"/>
        <v>0</v>
      </c>
      <c r="M13" s="145">
        <f t="shared" si="15"/>
        <v>-37.5</v>
      </c>
      <c r="N13" s="270"/>
      <c r="O13" s="270"/>
      <c r="P13" s="270"/>
      <c r="Q13" s="270"/>
      <c r="R13" s="270"/>
      <c r="S13" s="270"/>
      <c r="T13" s="270"/>
      <c r="U13" s="270"/>
      <c r="V13" s="270"/>
      <c r="W13" s="270"/>
      <c r="X13" s="270"/>
      <c r="Y13" s="270"/>
      <c r="Z13" s="270"/>
    </row>
    <row r="14" spans="1:26" ht="27.75" customHeight="1" x14ac:dyDescent="0.3">
      <c r="A14" s="627"/>
      <c r="B14" s="278" t="s">
        <v>510</v>
      </c>
      <c r="C14" s="194">
        <v>0</v>
      </c>
      <c r="D14" s="143">
        <v>5</v>
      </c>
      <c r="E14" s="194">
        <v>2.5</v>
      </c>
      <c r="F14" s="194">
        <f t="shared" si="16"/>
        <v>12.5</v>
      </c>
      <c r="G14" s="194">
        <v>0</v>
      </c>
      <c r="H14" s="228">
        <f t="shared" si="13"/>
        <v>12.5</v>
      </c>
      <c r="I14" s="194">
        <f>SUMIFS('Cashbook ING'!$B:$B, 'Cashbook ING'!$A:$A, "AC_")*-1</f>
        <v>0</v>
      </c>
      <c r="J14" s="193">
        <f>SUMIFS('Cashbook Wix'!$B$2:$B$7106,'Cashbook Wix'!$A$2:$A$7106,"AC_")</f>
        <v>0</v>
      </c>
      <c r="K14" s="194">
        <v>0</v>
      </c>
      <c r="L14" s="228">
        <f t="shared" si="14"/>
        <v>0</v>
      </c>
      <c r="M14" s="145">
        <f t="shared" si="15"/>
        <v>-12.5</v>
      </c>
      <c r="N14" s="270"/>
      <c r="O14" s="270"/>
      <c r="P14" s="270"/>
      <c r="Q14" s="270"/>
      <c r="R14" s="270"/>
      <c r="S14" s="270"/>
      <c r="T14" s="270"/>
      <c r="U14" s="270"/>
      <c r="V14" s="270"/>
      <c r="W14" s="270"/>
      <c r="X14" s="270"/>
      <c r="Y14" s="270"/>
      <c r="Z14" s="270"/>
    </row>
    <row r="15" spans="1:26" ht="27.75" customHeight="1" x14ac:dyDescent="0.3">
      <c r="A15" s="628"/>
      <c r="B15" s="279" t="s">
        <v>511</v>
      </c>
      <c r="C15" s="235">
        <f t="shared" ref="C15:D15" si="17">SUM(C12:C14)</f>
        <v>20</v>
      </c>
      <c r="D15" s="234">
        <f t="shared" si="17"/>
        <v>30</v>
      </c>
      <c r="E15" s="235">
        <v>0</v>
      </c>
      <c r="F15" s="235">
        <f t="shared" ref="F15:H15" si="18">SUM(F12:F14)</f>
        <v>50</v>
      </c>
      <c r="G15" s="235">
        <f t="shared" si="18"/>
        <v>0</v>
      </c>
      <c r="H15" s="232">
        <f t="shared" si="18"/>
        <v>30</v>
      </c>
      <c r="I15" s="235">
        <f>SUM(I12:I13)</f>
        <v>0</v>
      </c>
      <c r="J15" s="235">
        <f t="shared" ref="J15:M15" si="19">SUM(J12:J14)</f>
        <v>0</v>
      </c>
      <c r="K15" s="235">
        <f t="shared" si="19"/>
        <v>0</v>
      </c>
      <c r="L15" s="232">
        <f t="shared" si="19"/>
        <v>0</v>
      </c>
      <c r="M15" s="232">
        <f t="shared" si="19"/>
        <v>-30</v>
      </c>
      <c r="N15" s="280"/>
      <c r="O15" s="270"/>
      <c r="P15" s="270"/>
      <c r="Q15" s="270"/>
      <c r="R15" s="270"/>
      <c r="S15" s="270"/>
      <c r="T15" s="270"/>
      <c r="U15" s="270"/>
      <c r="V15" s="270"/>
      <c r="W15" s="270"/>
      <c r="X15" s="270"/>
      <c r="Y15" s="270"/>
      <c r="Z15" s="270"/>
    </row>
    <row r="16" spans="1:26" ht="27.75" customHeight="1" x14ac:dyDescent="0.3">
      <c r="A16" s="634" t="s">
        <v>535</v>
      </c>
      <c r="B16" s="281" t="s">
        <v>536</v>
      </c>
      <c r="C16" s="241">
        <v>220</v>
      </c>
      <c r="D16" s="247">
        <v>0</v>
      </c>
      <c r="E16" s="241">
        <v>0</v>
      </c>
      <c r="F16" s="241">
        <v>0</v>
      </c>
      <c r="G16" s="241">
        <v>0</v>
      </c>
      <c r="H16" s="242">
        <f t="shared" ref="H16:H19" si="20">F16+G16-C16</f>
        <v>-220</v>
      </c>
      <c r="I16" s="241">
        <f>SUMIFS('Cashbook ING'!$B:$B, 'Cashbook ING'!$A:$A, "AC_DrunkDebate_Drinks")</f>
        <v>-363</v>
      </c>
      <c r="J16" s="241">
        <v>0</v>
      </c>
      <c r="K16" s="241">
        <v>0</v>
      </c>
      <c r="L16" s="242">
        <f t="shared" ref="L16:L19" si="21">J16+K16+I16</f>
        <v>-363</v>
      </c>
      <c r="M16" s="243">
        <f t="shared" ref="M16:M19" si="22">L16-H16</f>
        <v>-143</v>
      </c>
      <c r="N16" s="270"/>
      <c r="O16" s="270"/>
      <c r="P16" s="270"/>
      <c r="Q16" s="270"/>
      <c r="R16" s="270"/>
      <c r="S16" s="270"/>
      <c r="T16" s="270"/>
      <c r="U16" s="270"/>
      <c r="V16" s="270"/>
      <c r="W16" s="270"/>
      <c r="X16" s="270"/>
      <c r="Y16" s="270"/>
      <c r="Z16" s="270"/>
    </row>
    <row r="17" spans="1:26" ht="27.75" customHeight="1" x14ac:dyDescent="0.3">
      <c r="A17" s="627"/>
      <c r="B17" s="283" t="s">
        <v>537</v>
      </c>
      <c r="C17" s="194">
        <v>20</v>
      </c>
      <c r="D17" s="143">
        <v>0</v>
      </c>
      <c r="E17" s="194">
        <v>0</v>
      </c>
      <c r="F17" s="194">
        <v>0</v>
      </c>
      <c r="G17" s="194">
        <v>0</v>
      </c>
      <c r="H17" s="228">
        <f t="shared" si="20"/>
        <v>-20</v>
      </c>
      <c r="I17" s="194">
        <f>SUMIFS('Cashbook ING'!$B:$B, 'Cashbook ING'!$A:$A, "AC_")</f>
        <v>0</v>
      </c>
      <c r="J17" s="194">
        <v>0</v>
      </c>
      <c r="K17" s="194">
        <v>0</v>
      </c>
      <c r="L17" s="228">
        <f t="shared" si="21"/>
        <v>0</v>
      </c>
      <c r="M17" s="145">
        <f t="shared" si="22"/>
        <v>20</v>
      </c>
      <c r="N17" s="270"/>
      <c r="O17" s="270"/>
      <c r="P17" s="270"/>
      <c r="Q17" s="270"/>
      <c r="R17" s="270"/>
      <c r="S17" s="270"/>
      <c r="T17" s="270"/>
      <c r="U17" s="270"/>
      <c r="V17" s="270"/>
      <c r="W17" s="270"/>
      <c r="X17" s="270"/>
      <c r="Y17" s="270"/>
      <c r="Z17" s="270"/>
    </row>
    <row r="18" spans="1:26" ht="27.75" customHeight="1" x14ac:dyDescent="0.3">
      <c r="A18" s="627"/>
      <c r="B18" s="278" t="s">
        <v>509</v>
      </c>
      <c r="C18" s="194">
        <v>0</v>
      </c>
      <c r="D18" s="143">
        <v>30</v>
      </c>
      <c r="E18" s="194">
        <v>2</v>
      </c>
      <c r="F18" s="194">
        <f t="shared" ref="F18:F19" si="23">E18*D18</f>
        <v>60</v>
      </c>
      <c r="G18" s="194">
        <v>0</v>
      </c>
      <c r="H18" s="228">
        <f t="shared" si="20"/>
        <v>60</v>
      </c>
      <c r="I18" s="194">
        <v>0</v>
      </c>
      <c r="J18" s="194">
        <f>SUMIFS('Cashbook Wix'!$B$2:$B$7106,'Cashbook Wix'!$A$2:$A$7106,"AC_DrunkDebate_Member")</f>
        <v>39.699999999999996</v>
      </c>
      <c r="K18" s="194">
        <v>0</v>
      </c>
      <c r="L18" s="228">
        <f t="shared" si="21"/>
        <v>39.699999999999996</v>
      </c>
      <c r="M18" s="145">
        <f t="shared" si="22"/>
        <v>-20.300000000000004</v>
      </c>
      <c r="N18" s="270"/>
      <c r="O18" s="270"/>
      <c r="P18" s="270"/>
      <c r="Q18" s="270"/>
      <c r="R18" s="270"/>
      <c r="S18" s="270"/>
      <c r="T18" s="270"/>
      <c r="U18" s="270"/>
      <c r="V18" s="270"/>
      <c r="W18" s="270"/>
      <c r="X18" s="270"/>
      <c r="Y18" s="270"/>
      <c r="Z18" s="270"/>
    </row>
    <row r="19" spans="1:26" ht="27.75" customHeight="1" x14ac:dyDescent="0.3">
      <c r="A19" s="627"/>
      <c r="B19" s="278" t="s">
        <v>510</v>
      </c>
      <c r="C19" s="194">
        <v>0</v>
      </c>
      <c r="D19" s="143">
        <v>5</v>
      </c>
      <c r="E19" s="194">
        <v>4</v>
      </c>
      <c r="F19" s="194">
        <f t="shared" si="23"/>
        <v>20</v>
      </c>
      <c r="G19" s="194">
        <v>0</v>
      </c>
      <c r="H19" s="228">
        <f t="shared" si="20"/>
        <v>20</v>
      </c>
      <c r="I19" s="194">
        <v>0</v>
      </c>
      <c r="J19" s="194">
        <f>SUMIFS('Cashbook Wix'!$B$2:$B$7106,'Cashbook Wix'!$A$2:$A$7106,"AC_DrunkDebate_NonMember")</f>
        <v>21.66</v>
      </c>
      <c r="K19" s="194">
        <v>0</v>
      </c>
      <c r="L19" s="228">
        <f t="shared" si="21"/>
        <v>21.66</v>
      </c>
      <c r="M19" s="145">
        <f t="shared" si="22"/>
        <v>1.6600000000000001</v>
      </c>
      <c r="N19" s="270"/>
      <c r="O19" s="270"/>
      <c r="P19" s="270"/>
      <c r="Q19" s="270"/>
      <c r="R19" s="270"/>
      <c r="S19" s="270"/>
      <c r="T19" s="270"/>
      <c r="U19" s="270"/>
      <c r="V19" s="270"/>
      <c r="W19" s="270"/>
      <c r="X19" s="270"/>
      <c r="Y19" s="270"/>
      <c r="Z19" s="270"/>
    </row>
    <row r="20" spans="1:26" ht="27.75" customHeight="1" x14ac:dyDescent="0.3">
      <c r="A20" s="628"/>
      <c r="B20" s="279" t="s">
        <v>511</v>
      </c>
      <c r="C20" s="235">
        <f t="shared" ref="C20:D20" si="24">SUM(C16:C19)</f>
        <v>240</v>
      </c>
      <c r="D20" s="234">
        <f t="shared" si="24"/>
        <v>35</v>
      </c>
      <c r="E20" s="235">
        <v>0</v>
      </c>
      <c r="F20" s="235">
        <f t="shared" ref="F20:H20" si="25">SUM(F16:F19)</f>
        <v>80</v>
      </c>
      <c r="G20" s="235">
        <f t="shared" si="25"/>
        <v>0</v>
      </c>
      <c r="H20" s="232">
        <f t="shared" si="25"/>
        <v>-160</v>
      </c>
      <c r="I20" s="235">
        <f>SUM(I16:I18)</f>
        <v>-363</v>
      </c>
      <c r="J20" s="235">
        <f t="shared" ref="J20:M20" si="26">SUM(J16:J19)</f>
        <v>61.36</v>
      </c>
      <c r="K20" s="235">
        <f t="shared" si="26"/>
        <v>0</v>
      </c>
      <c r="L20" s="232">
        <f t="shared" si="26"/>
        <v>-301.64</v>
      </c>
      <c r="M20" s="232">
        <f t="shared" si="26"/>
        <v>-141.64000000000001</v>
      </c>
      <c r="N20" s="280"/>
      <c r="O20" s="270"/>
      <c r="P20" s="270"/>
      <c r="Q20" s="270"/>
      <c r="R20" s="270"/>
      <c r="S20" s="270"/>
      <c r="T20" s="270"/>
      <c r="U20" s="270"/>
      <c r="V20" s="270"/>
      <c r="W20" s="270"/>
      <c r="X20" s="270"/>
      <c r="Y20" s="270"/>
      <c r="Z20" s="270"/>
    </row>
    <row r="21" spans="1:26" ht="27.75" customHeight="1" x14ac:dyDescent="0.3">
      <c r="A21" s="630" t="s">
        <v>538</v>
      </c>
      <c r="B21" s="281" t="s">
        <v>539</v>
      </c>
      <c r="C21" s="241">
        <v>20</v>
      </c>
      <c r="D21" s="247">
        <v>0</v>
      </c>
      <c r="E21" s="241">
        <v>0</v>
      </c>
      <c r="F21" s="241">
        <v>0</v>
      </c>
      <c r="G21" s="239">
        <v>0</v>
      </c>
      <c r="H21" s="242">
        <f t="shared" ref="H21:H23" si="27">F21+G21-C21</f>
        <v>-20</v>
      </c>
      <c r="I21" s="239">
        <f>SUMIFS('Cashbook ING'!$B:$B, 'Cashbook ING'!$A:$A, "AC_")*1</f>
        <v>0</v>
      </c>
      <c r="J21" s="241">
        <v>0</v>
      </c>
      <c r="K21" s="241">
        <v>0</v>
      </c>
      <c r="L21" s="242">
        <f t="shared" ref="L21:L23" si="28">J21+K21+I21</f>
        <v>0</v>
      </c>
      <c r="M21" s="243">
        <f t="shared" ref="M21:M23" si="29">L21-H21</f>
        <v>20</v>
      </c>
      <c r="N21" s="270"/>
      <c r="O21" s="270"/>
      <c r="P21" s="270"/>
      <c r="Q21" s="270"/>
      <c r="R21" s="270"/>
      <c r="S21" s="270"/>
      <c r="T21" s="270"/>
      <c r="U21" s="270"/>
      <c r="V21" s="270"/>
      <c r="W21" s="270"/>
      <c r="X21" s="270"/>
      <c r="Y21" s="270"/>
      <c r="Z21" s="270"/>
    </row>
    <row r="22" spans="1:26" ht="27.75" customHeight="1" x14ac:dyDescent="0.3">
      <c r="A22" s="627"/>
      <c r="B22" s="278" t="s">
        <v>509</v>
      </c>
      <c r="C22" s="194">
        <v>0</v>
      </c>
      <c r="D22" s="143">
        <v>25</v>
      </c>
      <c r="E22" s="194">
        <v>1.5</v>
      </c>
      <c r="F22" s="194">
        <f t="shared" ref="F22:F23" si="30">E22*D22</f>
        <v>37.5</v>
      </c>
      <c r="G22" s="194">
        <v>0</v>
      </c>
      <c r="H22" s="228">
        <f t="shared" si="27"/>
        <v>37.5</v>
      </c>
      <c r="I22" s="194">
        <v>0</v>
      </c>
      <c r="J22" s="194">
        <f>SUMIFS('Cashbook Wix'!$B$2:$B$7106,'Cashbook Wix'!$A$2:$A$7106,"AC_")</f>
        <v>0</v>
      </c>
      <c r="K22" s="194">
        <v>0</v>
      </c>
      <c r="L22" s="228">
        <f t="shared" si="28"/>
        <v>0</v>
      </c>
      <c r="M22" s="145">
        <f t="shared" si="29"/>
        <v>-37.5</v>
      </c>
      <c r="N22" s="270"/>
      <c r="O22" s="270"/>
      <c r="P22" s="270"/>
      <c r="Q22" s="270"/>
      <c r="R22" s="270"/>
      <c r="S22" s="270"/>
      <c r="T22" s="270"/>
      <c r="U22" s="270"/>
      <c r="V22" s="270"/>
      <c r="W22" s="270"/>
      <c r="X22" s="270"/>
      <c r="Y22" s="270"/>
      <c r="Z22" s="270"/>
    </row>
    <row r="23" spans="1:26" ht="27.75" customHeight="1" x14ac:dyDescent="0.3">
      <c r="A23" s="627"/>
      <c r="B23" s="278" t="s">
        <v>510</v>
      </c>
      <c r="C23" s="194">
        <v>0</v>
      </c>
      <c r="D23" s="143">
        <v>5</v>
      </c>
      <c r="E23" s="194">
        <v>2.5</v>
      </c>
      <c r="F23" s="194">
        <f t="shared" si="30"/>
        <v>12.5</v>
      </c>
      <c r="G23" s="194">
        <v>0</v>
      </c>
      <c r="H23" s="228">
        <f t="shared" si="27"/>
        <v>12.5</v>
      </c>
      <c r="I23" s="194">
        <v>0</v>
      </c>
      <c r="J23" s="194">
        <f>SUMIFS('Cashbook Wix'!$B$2:$B$7106,'Cashbook Wix'!$A$2:$A$7106,"AC_")</f>
        <v>0</v>
      </c>
      <c r="K23" s="194">
        <v>0</v>
      </c>
      <c r="L23" s="228">
        <f t="shared" si="28"/>
        <v>0</v>
      </c>
      <c r="M23" s="145">
        <f t="shared" si="29"/>
        <v>-12.5</v>
      </c>
      <c r="N23" s="270"/>
      <c r="O23" s="270"/>
      <c r="P23" s="270"/>
      <c r="Q23" s="270"/>
      <c r="R23" s="270"/>
      <c r="S23" s="270"/>
      <c r="T23" s="270"/>
      <c r="U23" s="270"/>
      <c r="V23" s="270"/>
      <c r="W23" s="270"/>
      <c r="X23" s="270"/>
      <c r="Y23" s="270"/>
      <c r="Z23" s="270"/>
    </row>
    <row r="24" spans="1:26" ht="27.75" customHeight="1" x14ac:dyDescent="0.3">
      <c r="A24" s="628"/>
      <c r="B24" s="279" t="s">
        <v>511</v>
      </c>
      <c r="C24" s="235">
        <f t="shared" ref="C24:D24" si="31">SUM(C21:C23)</f>
        <v>20</v>
      </c>
      <c r="D24" s="234">
        <f t="shared" si="31"/>
        <v>30</v>
      </c>
      <c r="E24" s="235">
        <v>0</v>
      </c>
      <c r="F24" s="235">
        <f t="shared" ref="F24:H24" si="32">SUM(F21:F23)</f>
        <v>50</v>
      </c>
      <c r="G24" s="235">
        <f t="shared" si="32"/>
        <v>0</v>
      </c>
      <c r="H24" s="232">
        <f t="shared" si="32"/>
        <v>30</v>
      </c>
      <c r="I24" s="235">
        <f>SUM(I21:I22)</f>
        <v>0</v>
      </c>
      <c r="J24" s="235">
        <f t="shared" ref="J24:M24" si="33">SUM(J21:J23)</f>
        <v>0</v>
      </c>
      <c r="K24" s="235">
        <f t="shared" si="33"/>
        <v>0</v>
      </c>
      <c r="L24" s="232">
        <f t="shared" si="33"/>
        <v>0</v>
      </c>
      <c r="M24" s="232">
        <f t="shared" si="33"/>
        <v>-30</v>
      </c>
      <c r="N24" s="280"/>
      <c r="O24" s="270"/>
      <c r="P24" s="270"/>
      <c r="Q24" s="270"/>
      <c r="R24" s="270"/>
      <c r="S24" s="270"/>
      <c r="T24" s="270"/>
      <c r="U24" s="270"/>
      <c r="V24" s="270"/>
      <c r="W24" s="270"/>
      <c r="X24" s="270"/>
      <c r="Y24" s="270"/>
      <c r="Z24" s="270"/>
    </row>
    <row r="25" spans="1:26" ht="27.75" customHeight="1" x14ac:dyDescent="0.3">
      <c r="A25" s="635" t="s">
        <v>540</v>
      </c>
      <c r="B25" s="284" t="s">
        <v>516</v>
      </c>
      <c r="C25" s="239">
        <v>300</v>
      </c>
      <c r="D25" s="240">
        <v>0</v>
      </c>
      <c r="E25" s="239">
        <v>0</v>
      </c>
      <c r="F25" s="239">
        <v>0</v>
      </c>
      <c r="G25" s="239">
        <v>100</v>
      </c>
      <c r="H25" s="285">
        <f t="shared" ref="H25:H28" si="34">F25+G25-C25</f>
        <v>-200</v>
      </c>
      <c r="I25" s="239">
        <f>SUMIFS('Cashbook ING'!$B:$B, 'Cashbook ING'!$A:$A, "AC_")*1</f>
        <v>0</v>
      </c>
      <c r="J25" s="239">
        <v>0</v>
      </c>
      <c r="K25" s="239">
        <v>0</v>
      </c>
      <c r="L25" s="238">
        <f t="shared" ref="L25:L28" si="35">I25+J25+K25</f>
        <v>0</v>
      </c>
      <c r="M25" s="286">
        <f t="shared" ref="M25:M28" si="36">L25-H25</f>
        <v>200</v>
      </c>
      <c r="N25" s="287"/>
      <c r="O25" s="288"/>
      <c r="P25" s="288"/>
      <c r="Q25" s="288"/>
      <c r="R25" s="288"/>
      <c r="S25" s="288"/>
      <c r="T25" s="288"/>
      <c r="U25" s="288"/>
      <c r="V25" s="288"/>
      <c r="W25" s="288"/>
      <c r="X25" s="288"/>
      <c r="Y25" s="288"/>
      <c r="Z25" s="288"/>
    </row>
    <row r="26" spans="1:26" ht="27.75" customHeight="1" x14ac:dyDescent="0.3">
      <c r="A26" s="617"/>
      <c r="B26" s="289" t="s">
        <v>536</v>
      </c>
      <c r="C26" s="193">
        <v>120</v>
      </c>
      <c r="D26" s="160">
        <v>0</v>
      </c>
      <c r="E26" s="193">
        <v>0</v>
      </c>
      <c r="F26" s="193">
        <v>0</v>
      </c>
      <c r="G26" s="193">
        <v>0</v>
      </c>
      <c r="H26" s="245">
        <f t="shared" si="34"/>
        <v>-120</v>
      </c>
      <c r="I26" s="193">
        <f>SUMIFS('Cashbook ING'!$B:$B, 'Cashbook ING'!$A:$A, "AC_")*1</f>
        <v>0</v>
      </c>
      <c r="J26" s="193">
        <v>0</v>
      </c>
      <c r="K26" s="193">
        <v>0</v>
      </c>
      <c r="L26" s="193">
        <f t="shared" si="35"/>
        <v>0</v>
      </c>
      <c r="M26" s="290">
        <f t="shared" si="36"/>
        <v>120</v>
      </c>
      <c r="N26" s="291"/>
      <c r="O26" s="288"/>
      <c r="P26" s="288"/>
      <c r="Q26" s="288"/>
      <c r="R26" s="288"/>
      <c r="S26" s="288"/>
      <c r="T26" s="288"/>
      <c r="U26" s="288"/>
      <c r="V26" s="288"/>
      <c r="W26" s="288"/>
      <c r="X26" s="288"/>
      <c r="Y26" s="288"/>
      <c r="Z26" s="288"/>
    </row>
    <row r="27" spans="1:26" ht="27.75" customHeight="1" x14ac:dyDescent="0.3">
      <c r="A27" s="617"/>
      <c r="B27" s="289" t="s">
        <v>541</v>
      </c>
      <c r="C27" s="290">
        <v>0</v>
      </c>
      <c r="D27" s="160">
        <v>50</v>
      </c>
      <c r="E27" s="193">
        <v>4</v>
      </c>
      <c r="F27" s="193">
        <f t="shared" ref="F27:F28" si="37">E27*D27</f>
        <v>200</v>
      </c>
      <c r="G27" s="193">
        <v>0</v>
      </c>
      <c r="H27" s="193">
        <f t="shared" si="34"/>
        <v>200</v>
      </c>
      <c r="I27" s="290">
        <f>SUMIFS('Cashbook ING'!$B:$B, 'Cashbook ING'!$A:$A, "AC_")*-1</f>
        <v>0</v>
      </c>
      <c r="J27" s="193">
        <f>SUMIFS('Cashbook Wix'!$B$2:$B$7106,'Cashbook Wix'!$A$2:$A$7106,"AC_")</f>
        <v>0</v>
      </c>
      <c r="K27" s="193">
        <v>0</v>
      </c>
      <c r="L27" s="245">
        <f t="shared" si="35"/>
        <v>0</v>
      </c>
      <c r="M27" s="193">
        <f t="shared" si="36"/>
        <v>-200</v>
      </c>
      <c r="N27" s="291"/>
      <c r="O27" s="288"/>
      <c r="P27" s="288"/>
      <c r="Q27" s="288"/>
      <c r="R27" s="288"/>
      <c r="S27" s="288"/>
      <c r="T27" s="288"/>
      <c r="U27" s="288"/>
      <c r="V27" s="288"/>
      <c r="W27" s="288"/>
      <c r="X27" s="288"/>
      <c r="Y27" s="288"/>
      <c r="Z27" s="288"/>
    </row>
    <row r="28" spans="1:26" ht="27.75" customHeight="1" x14ac:dyDescent="0.3">
      <c r="A28" s="617"/>
      <c r="B28" s="289" t="s">
        <v>510</v>
      </c>
      <c r="C28" s="290">
        <v>0</v>
      </c>
      <c r="D28" s="160">
        <v>5</v>
      </c>
      <c r="E28" s="193">
        <v>6</v>
      </c>
      <c r="F28" s="193">
        <f t="shared" si="37"/>
        <v>30</v>
      </c>
      <c r="G28" s="193">
        <v>0</v>
      </c>
      <c r="H28" s="245">
        <f t="shared" si="34"/>
        <v>30</v>
      </c>
      <c r="I28" s="290">
        <f>SUMIFS('Cashbook ING'!$B:$B, 'Cashbook ING'!$A:$A, "AC_")*-1</f>
        <v>0</v>
      </c>
      <c r="J28" s="193">
        <f>SUMIFS('Cashbook Wix'!$B$2:$B$7106,'Cashbook Wix'!$A$2:$A$7106,"AC_")</f>
        <v>0</v>
      </c>
      <c r="K28" s="193">
        <v>0</v>
      </c>
      <c r="L28" s="245">
        <f t="shared" si="35"/>
        <v>0</v>
      </c>
      <c r="M28" s="193">
        <f t="shared" si="36"/>
        <v>-30</v>
      </c>
      <c r="N28" s="291"/>
      <c r="O28" s="288"/>
      <c r="P28" s="288"/>
      <c r="Q28" s="288"/>
      <c r="R28" s="288"/>
      <c r="S28" s="288"/>
      <c r="T28" s="288"/>
      <c r="U28" s="288"/>
      <c r="V28" s="288"/>
      <c r="W28" s="288"/>
      <c r="X28" s="288"/>
      <c r="Y28" s="288"/>
      <c r="Z28" s="288"/>
    </row>
    <row r="29" spans="1:26" ht="27.75" customHeight="1" x14ac:dyDescent="0.3">
      <c r="A29" s="623"/>
      <c r="B29" s="279"/>
      <c r="C29" s="235">
        <f t="shared" ref="C29:D29" si="38">SUM(C25:C28)</f>
        <v>420</v>
      </c>
      <c r="D29" s="234">
        <f t="shared" si="38"/>
        <v>55</v>
      </c>
      <c r="E29" s="235">
        <v>0</v>
      </c>
      <c r="F29" s="235">
        <f t="shared" ref="F29:M29" si="39">SUM(F25:F28)</f>
        <v>230</v>
      </c>
      <c r="G29" s="235">
        <f t="shared" si="39"/>
        <v>100</v>
      </c>
      <c r="H29" s="232">
        <f t="shared" si="39"/>
        <v>-90</v>
      </c>
      <c r="I29" s="292">
        <f t="shared" si="39"/>
        <v>0</v>
      </c>
      <c r="J29" s="235">
        <f t="shared" si="39"/>
        <v>0</v>
      </c>
      <c r="K29" s="235">
        <f t="shared" si="39"/>
        <v>0</v>
      </c>
      <c r="L29" s="232">
        <f t="shared" si="39"/>
        <v>0</v>
      </c>
      <c r="M29" s="293">
        <f t="shared" si="39"/>
        <v>90</v>
      </c>
      <c r="N29" s="280"/>
      <c r="O29" s="270"/>
      <c r="P29" s="270"/>
      <c r="Q29" s="270"/>
      <c r="R29" s="270"/>
      <c r="S29" s="270"/>
      <c r="T29" s="270"/>
      <c r="U29" s="270"/>
      <c r="V29" s="270"/>
      <c r="W29" s="270"/>
      <c r="X29" s="270"/>
      <c r="Y29" s="270"/>
      <c r="Z29" s="270"/>
    </row>
    <row r="30" spans="1:26" ht="27.75" customHeight="1" x14ac:dyDescent="0.3">
      <c r="A30" s="635" t="s">
        <v>542</v>
      </c>
      <c r="B30" s="284" t="s">
        <v>543</v>
      </c>
      <c r="C30" s="239">
        <v>50</v>
      </c>
      <c r="D30" s="240">
        <v>0</v>
      </c>
      <c r="E30" s="239">
        <v>0</v>
      </c>
      <c r="F30" s="239">
        <v>0</v>
      </c>
      <c r="G30" s="239">
        <v>0</v>
      </c>
      <c r="H30" s="238">
        <f t="shared" ref="H30:H33" si="40">F30+G30-C30</f>
        <v>-50</v>
      </c>
      <c r="I30" s="294">
        <f>SUMIFS('Cashbook ING'!$B:$B, 'Cashbook ING'!$A:$A, "AC_")*1</f>
        <v>0</v>
      </c>
      <c r="J30" s="239">
        <f>SUMIFS('Cashbook Wix'!$B$2:$B$7106,'Cashbook Wix'!$A$2:$A$7106,"AC_")</f>
        <v>0</v>
      </c>
      <c r="K30" s="239">
        <v>0</v>
      </c>
      <c r="L30" s="238">
        <f t="shared" ref="L30:L33" si="41">I30+J30+K30</f>
        <v>0</v>
      </c>
      <c r="M30" s="286">
        <f t="shared" ref="M30:M33" si="42">L30-H30</f>
        <v>50</v>
      </c>
      <c r="N30" s="280"/>
      <c r="O30" s="270"/>
      <c r="P30" s="270"/>
      <c r="Q30" s="270"/>
      <c r="R30" s="270"/>
      <c r="S30" s="270"/>
      <c r="T30" s="270"/>
      <c r="U30" s="270"/>
      <c r="V30" s="270"/>
      <c r="W30" s="270"/>
      <c r="X30" s="270"/>
      <c r="Y30" s="270"/>
      <c r="Z30" s="270"/>
    </row>
    <row r="31" spans="1:26" ht="27.75" customHeight="1" x14ac:dyDescent="0.3">
      <c r="A31" s="617"/>
      <c r="B31" s="289" t="s">
        <v>537</v>
      </c>
      <c r="C31" s="193">
        <v>10</v>
      </c>
      <c r="D31" s="160">
        <v>0</v>
      </c>
      <c r="E31" s="193">
        <v>0</v>
      </c>
      <c r="F31" s="193">
        <v>0</v>
      </c>
      <c r="G31" s="193">
        <v>0</v>
      </c>
      <c r="H31" s="245">
        <f t="shared" si="40"/>
        <v>-10</v>
      </c>
      <c r="I31" s="290">
        <f>SUMIFS('Cashbook ING'!$B:$B, 'Cashbook ING'!$A:$A, "AC_")*1</f>
        <v>0</v>
      </c>
      <c r="J31" s="193">
        <f>SUMIFS('Cashbook Wix'!$B$2:$B$7106,'Cashbook Wix'!$A$2:$A$7106,"AC_")</f>
        <v>0</v>
      </c>
      <c r="K31" s="193">
        <v>0</v>
      </c>
      <c r="L31" s="193">
        <f t="shared" si="41"/>
        <v>0</v>
      </c>
      <c r="M31" s="290">
        <f t="shared" si="42"/>
        <v>10</v>
      </c>
      <c r="N31" s="295"/>
      <c r="O31" s="270"/>
      <c r="P31" s="270"/>
      <c r="Q31" s="270"/>
      <c r="R31" s="270"/>
      <c r="S31" s="270"/>
      <c r="T31" s="270"/>
      <c r="U31" s="270"/>
      <c r="V31" s="270"/>
      <c r="W31" s="270"/>
      <c r="X31" s="270"/>
      <c r="Y31" s="270"/>
      <c r="Z31" s="270"/>
    </row>
    <row r="32" spans="1:26" ht="27.75" customHeight="1" x14ac:dyDescent="0.3">
      <c r="A32" s="617"/>
      <c r="B32" s="289" t="s">
        <v>541</v>
      </c>
      <c r="C32" s="193">
        <v>0</v>
      </c>
      <c r="D32" s="160">
        <v>0</v>
      </c>
      <c r="E32" s="193">
        <v>0</v>
      </c>
      <c r="F32" s="193">
        <f t="shared" ref="F32:F33" si="43">E32*D32</f>
        <v>0</v>
      </c>
      <c r="G32" s="193">
        <v>0</v>
      </c>
      <c r="H32" s="245">
        <f t="shared" si="40"/>
        <v>0</v>
      </c>
      <c r="I32" s="290">
        <f>SUMIFS('Cashbook ING'!$B:$B, 'Cashbook ING'!$A:$A, "AC_")*-1</f>
        <v>0</v>
      </c>
      <c r="J32" s="193">
        <f>SUMIFS('Cashbook Wix'!$B$2:$B$7106,'Cashbook Wix'!$A$2:$A$7106,"AC_")</f>
        <v>0</v>
      </c>
      <c r="K32" s="193">
        <v>0</v>
      </c>
      <c r="L32" s="245">
        <f t="shared" si="41"/>
        <v>0</v>
      </c>
      <c r="M32" s="296">
        <f t="shared" si="42"/>
        <v>0</v>
      </c>
      <c r="N32" s="280"/>
      <c r="O32" s="270"/>
      <c r="P32" s="270"/>
      <c r="Q32" s="270"/>
      <c r="R32" s="270"/>
      <c r="S32" s="270"/>
      <c r="T32" s="270"/>
      <c r="U32" s="270"/>
      <c r="V32" s="270"/>
      <c r="W32" s="270"/>
      <c r="X32" s="270"/>
      <c r="Y32" s="270"/>
      <c r="Z32" s="270"/>
    </row>
    <row r="33" spans="1:26" ht="27.75" customHeight="1" x14ac:dyDescent="0.3">
      <c r="A33" s="617"/>
      <c r="B33" s="289" t="s">
        <v>510</v>
      </c>
      <c r="C33" s="290">
        <v>0</v>
      </c>
      <c r="D33" s="160">
        <v>0</v>
      </c>
      <c r="E33" s="193">
        <v>0</v>
      </c>
      <c r="F33" s="193">
        <f t="shared" si="43"/>
        <v>0</v>
      </c>
      <c r="G33" s="193">
        <v>0</v>
      </c>
      <c r="H33" s="245">
        <f t="shared" si="40"/>
        <v>0</v>
      </c>
      <c r="I33" s="290">
        <f>SUMIFS('Cashbook ING'!$B:$B, 'Cashbook ING'!$A:$A, "AC_")*-1</f>
        <v>0</v>
      </c>
      <c r="J33" s="193">
        <f>SUMIFS('Cashbook Wix'!$B$2:$B$7106,'Cashbook Wix'!$A$2:$A$7106,"AC_")</f>
        <v>0</v>
      </c>
      <c r="K33" s="193">
        <v>0</v>
      </c>
      <c r="L33" s="245">
        <f t="shared" si="41"/>
        <v>0</v>
      </c>
      <c r="M33" s="193">
        <f t="shared" si="42"/>
        <v>0</v>
      </c>
      <c r="N33" s="295"/>
      <c r="O33" s="270"/>
      <c r="P33" s="270"/>
      <c r="Q33" s="270"/>
      <c r="R33" s="270"/>
      <c r="S33" s="270"/>
      <c r="T33" s="270"/>
      <c r="U33" s="270"/>
      <c r="V33" s="270"/>
      <c r="W33" s="270"/>
      <c r="X33" s="270"/>
      <c r="Y33" s="270"/>
      <c r="Z33" s="270"/>
    </row>
    <row r="34" spans="1:26" ht="27.75" customHeight="1" x14ac:dyDescent="0.3">
      <c r="A34" s="623"/>
      <c r="B34" s="279" t="s">
        <v>511</v>
      </c>
      <c r="C34" s="235">
        <f t="shared" ref="C34:M34" si="44">SUM(C30:C33)</f>
        <v>60</v>
      </c>
      <c r="D34" s="234">
        <f t="shared" si="44"/>
        <v>0</v>
      </c>
      <c r="E34" s="235">
        <f t="shared" si="44"/>
        <v>0</v>
      </c>
      <c r="F34" s="235">
        <f t="shared" si="44"/>
        <v>0</v>
      </c>
      <c r="G34" s="235">
        <f t="shared" si="44"/>
        <v>0</v>
      </c>
      <c r="H34" s="232">
        <f t="shared" si="44"/>
        <v>-60</v>
      </c>
      <c r="I34" s="235">
        <f t="shared" si="44"/>
        <v>0</v>
      </c>
      <c r="J34" s="235">
        <f t="shared" si="44"/>
        <v>0</v>
      </c>
      <c r="K34" s="235">
        <f t="shared" si="44"/>
        <v>0</v>
      </c>
      <c r="L34" s="232">
        <f t="shared" si="44"/>
        <v>0</v>
      </c>
      <c r="M34" s="293">
        <f t="shared" si="44"/>
        <v>60</v>
      </c>
      <c r="N34" s="280"/>
      <c r="O34" s="270"/>
      <c r="P34" s="270"/>
      <c r="Q34" s="270"/>
      <c r="S34" s="270"/>
      <c r="T34" s="270"/>
      <c r="U34" s="270"/>
      <c r="V34" s="270"/>
      <c r="W34" s="270"/>
      <c r="X34" s="270"/>
      <c r="Y34" s="270"/>
      <c r="Z34" s="270"/>
    </row>
    <row r="35" spans="1:26" ht="27.75" customHeight="1" x14ac:dyDescent="0.3">
      <c r="A35" s="635" t="s">
        <v>544</v>
      </c>
      <c r="B35" s="284" t="s">
        <v>529</v>
      </c>
      <c r="C35" s="239">
        <v>100</v>
      </c>
      <c r="D35" s="240">
        <v>0</v>
      </c>
      <c r="E35" s="239">
        <v>0</v>
      </c>
      <c r="F35" s="239">
        <v>0</v>
      </c>
      <c r="G35" s="239">
        <v>75</v>
      </c>
      <c r="H35" s="238">
        <f t="shared" ref="H35:H37" si="45">F35+G35-C35</f>
        <v>-25</v>
      </c>
      <c r="I35" s="294">
        <f>SUMIFS('Cashbook ING'!$B:$B, 'Cashbook ING'!$A:$A, "AC_BennosBookClub_Snacks")*1</f>
        <v>-19.38</v>
      </c>
      <c r="J35" s="239">
        <f>SUMIFS('Cashbook Wix'!$B$2:$B$7106,'Cashbook Wix'!$A$2:$A$7106,"AC_")</f>
        <v>0</v>
      </c>
      <c r="K35" s="239">
        <v>0</v>
      </c>
      <c r="L35" s="238">
        <f t="shared" ref="L35:L37" si="46">I35+J35+K35</f>
        <v>-19.38</v>
      </c>
      <c r="M35" s="286">
        <f t="shared" ref="M35:M37" si="47">L35-H35</f>
        <v>5.620000000000001</v>
      </c>
      <c r="N35" s="280"/>
      <c r="O35" s="270"/>
      <c r="P35" s="270"/>
      <c r="Q35" s="270"/>
      <c r="R35" s="270"/>
      <c r="S35" s="270"/>
      <c r="T35" s="270"/>
      <c r="U35" s="270"/>
      <c r="V35" s="270"/>
      <c r="W35" s="270"/>
      <c r="X35" s="270"/>
      <c r="Y35" s="270"/>
      <c r="Z35" s="270"/>
    </row>
    <row r="36" spans="1:26" ht="27.75" customHeight="1" x14ac:dyDescent="0.3">
      <c r="A36" s="617"/>
      <c r="B36" s="289" t="s">
        <v>541</v>
      </c>
      <c r="C36" s="193">
        <v>0</v>
      </c>
      <c r="D36" s="160">
        <v>0</v>
      </c>
      <c r="E36" s="193">
        <v>0</v>
      </c>
      <c r="F36" s="193">
        <f t="shared" ref="F36:F37" si="48">E36*D36</f>
        <v>0</v>
      </c>
      <c r="G36" s="193">
        <v>0</v>
      </c>
      <c r="H36" s="245">
        <f t="shared" si="45"/>
        <v>0</v>
      </c>
      <c r="I36" s="290">
        <f>SUMIFS('Cashbook ING'!$B:$B, 'Cashbook ING'!$A:$A, "AC_")*-1</f>
        <v>0</v>
      </c>
      <c r="J36" s="193">
        <f>SUMIFS('Cashbook Wix'!$B$2:$B$7106,'Cashbook Wix'!$A$2:$A$7106,"AC_")</f>
        <v>0</v>
      </c>
      <c r="K36" s="193">
        <v>0</v>
      </c>
      <c r="L36" s="245">
        <f t="shared" si="46"/>
        <v>0</v>
      </c>
      <c r="M36" s="296">
        <f t="shared" si="47"/>
        <v>0</v>
      </c>
      <c r="N36" s="280"/>
      <c r="O36" s="270"/>
      <c r="P36" s="270"/>
      <c r="Q36" s="270"/>
      <c r="R36" s="270"/>
      <c r="S36" s="270"/>
      <c r="T36" s="270"/>
      <c r="U36" s="270"/>
      <c r="V36" s="270"/>
      <c r="W36" s="270"/>
      <c r="X36" s="270"/>
      <c r="Y36" s="270"/>
      <c r="Z36" s="270"/>
    </row>
    <row r="37" spans="1:26" ht="27.75" customHeight="1" x14ac:dyDescent="0.3">
      <c r="A37" s="617"/>
      <c r="B37" s="289" t="s">
        <v>545</v>
      </c>
      <c r="C37" s="290">
        <v>0</v>
      </c>
      <c r="D37" s="160">
        <v>0</v>
      </c>
      <c r="E37" s="193">
        <v>0</v>
      </c>
      <c r="F37" s="193">
        <f t="shared" si="48"/>
        <v>0</v>
      </c>
      <c r="G37" s="193">
        <v>0</v>
      </c>
      <c r="H37" s="245">
        <f t="shared" si="45"/>
        <v>0</v>
      </c>
      <c r="I37" s="290">
        <f>SUMIFS('Cashbook ING'!$B:$B, 'Cashbook ING'!$A:$A, "AC_")*-1</f>
        <v>0</v>
      </c>
      <c r="J37" s="193">
        <f>SUMIFS('Cashbook Wix'!$B$2:$B$7106,'Cashbook Wix'!$A$2:$A$7106,"AC_")</f>
        <v>0</v>
      </c>
      <c r="K37" s="193">
        <v>0</v>
      </c>
      <c r="L37" s="245">
        <f t="shared" si="46"/>
        <v>0</v>
      </c>
      <c r="M37" s="296">
        <f t="shared" si="47"/>
        <v>0</v>
      </c>
      <c r="N37" s="280"/>
      <c r="O37" s="270"/>
      <c r="P37" s="270"/>
      <c r="Q37" s="270"/>
      <c r="R37" s="270"/>
      <c r="S37" s="270"/>
      <c r="T37" s="270"/>
      <c r="U37" s="270"/>
      <c r="V37" s="270"/>
      <c r="W37" s="270"/>
      <c r="X37" s="270"/>
      <c r="Y37" s="270"/>
      <c r="Z37" s="270"/>
    </row>
    <row r="38" spans="1:26" ht="27.75" customHeight="1" x14ac:dyDescent="0.3">
      <c r="A38" s="623"/>
      <c r="B38" s="279"/>
      <c r="C38" s="235">
        <f t="shared" ref="C38:M38" si="49">SUM(C35:C37)</f>
        <v>100</v>
      </c>
      <c r="D38" s="234">
        <f t="shared" si="49"/>
        <v>0</v>
      </c>
      <c r="E38" s="235">
        <f t="shared" si="49"/>
        <v>0</v>
      </c>
      <c r="F38" s="235">
        <f t="shared" si="49"/>
        <v>0</v>
      </c>
      <c r="G38" s="235">
        <f t="shared" si="49"/>
        <v>75</v>
      </c>
      <c r="H38" s="232">
        <f t="shared" si="49"/>
        <v>-25</v>
      </c>
      <c r="I38" s="235">
        <f t="shared" si="49"/>
        <v>-19.38</v>
      </c>
      <c r="J38" s="235">
        <f t="shared" si="49"/>
        <v>0</v>
      </c>
      <c r="K38" s="235">
        <f t="shared" si="49"/>
        <v>0</v>
      </c>
      <c r="L38" s="232">
        <f t="shared" si="49"/>
        <v>-19.38</v>
      </c>
      <c r="M38" s="293">
        <f t="shared" si="49"/>
        <v>5.620000000000001</v>
      </c>
      <c r="N38" s="280"/>
      <c r="O38" s="270"/>
      <c r="P38" s="270"/>
      <c r="Q38" s="270"/>
      <c r="R38" s="270"/>
      <c r="T38" s="270"/>
      <c r="U38" s="270"/>
      <c r="V38" s="270"/>
      <c r="W38" s="270"/>
      <c r="X38" s="270"/>
      <c r="Y38" s="270"/>
      <c r="Z38" s="270"/>
    </row>
    <row r="39" spans="1:26" ht="27.75" customHeight="1" x14ac:dyDescent="0.3">
      <c r="A39" s="635" t="s">
        <v>546</v>
      </c>
      <c r="B39" s="284" t="s">
        <v>543</v>
      </c>
      <c r="C39" s="239">
        <v>55</v>
      </c>
      <c r="D39" s="240">
        <v>0</v>
      </c>
      <c r="E39" s="239">
        <v>0</v>
      </c>
      <c r="F39" s="239">
        <v>0</v>
      </c>
      <c r="G39" s="239">
        <v>50</v>
      </c>
      <c r="H39" s="238">
        <f t="shared" ref="H39:H42" si="50">F39+G39-C39</f>
        <v>-5</v>
      </c>
      <c r="I39" s="294">
        <f>SUMIFS('Cashbook ING'!$B:$B, 'Cashbook ING'!$A:$A, "AC_")*1</f>
        <v>0</v>
      </c>
      <c r="J39" s="239">
        <f>SUMIFS('Cashbook Wix'!$B$2:$B$7106,'Cashbook Wix'!$A$2:$A$7106,"AC_")</f>
        <v>0</v>
      </c>
      <c r="K39" s="239">
        <v>0</v>
      </c>
      <c r="L39" s="238">
        <f t="shared" ref="L39:L42" si="51">I39+J39+K39</f>
        <v>0</v>
      </c>
      <c r="M39" s="286">
        <f t="shared" ref="M39:M42" si="52">L39-H39</f>
        <v>5</v>
      </c>
      <c r="N39" s="280"/>
      <c r="O39" s="270"/>
      <c r="P39" s="270"/>
      <c r="Q39" s="270"/>
      <c r="R39" s="270"/>
      <c r="S39" s="270"/>
      <c r="T39" s="270"/>
      <c r="U39" s="270"/>
      <c r="V39" s="270"/>
      <c r="W39" s="270"/>
      <c r="X39" s="270"/>
      <c r="Y39" s="270"/>
      <c r="Z39" s="270"/>
    </row>
    <row r="40" spans="1:26" ht="27.75" customHeight="1" x14ac:dyDescent="0.35">
      <c r="A40" s="617"/>
      <c r="B40" s="289" t="s">
        <v>537</v>
      </c>
      <c r="C40" s="193">
        <v>10</v>
      </c>
      <c r="D40" s="160">
        <v>0</v>
      </c>
      <c r="E40" s="193">
        <v>0</v>
      </c>
      <c r="F40" s="193">
        <v>0</v>
      </c>
      <c r="G40" s="193">
        <v>0</v>
      </c>
      <c r="H40" s="245">
        <f t="shared" si="50"/>
        <v>-10</v>
      </c>
      <c r="I40" s="290">
        <f>SUMIFS('Cashbook ING'!$B:$B, 'Cashbook ING'!$A:$A, "AC_")*1</f>
        <v>0</v>
      </c>
      <c r="J40" s="193">
        <f>SUMIFS('Cashbook Wix'!$B$2:$B$7106,'Cashbook Wix'!$A$2:$A$7106,"AC_")</f>
        <v>0</v>
      </c>
      <c r="K40" s="193">
        <v>0</v>
      </c>
      <c r="L40" s="193">
        <f t="shared" si="51"/>
        <v>0</v>
      </c>
      <c r="M40" s="290">
        <f t="shared" si="52"/>
        <v>10</v>
      </c>
      <c r="N40" s="297"/>
      <c r="O40" s="298"/>
      <c r="P40" s="298"/>
      <c r="Q40" s="298"/>
      <c r="R40" s="298"/>
      <c r="S40" s="298"/>
      <c r="T40" s="298"/>
      <c r="U40" s="298"/>
      <c r="V40" s="298"/>
      <c r="W40" s="298"/>
      <c r="X40" s="298"/>
      <c r="Y40" s="298"/>
      <c r="Z40" s="298"/>
    </row>
    <row r="41" spans="1:26" ht="27.75" customHeight="1" x14ac:dyDescent="0.3">
      <c r="A41" s="617"/>
      <c r="B41" s="289" t="s">
        <v>541</v>
      </c>
      <c r="C41" s="193">
        <v>0</v>
      </c>
      <c r="D41" s="160">
        <v>25</v>
      </c>
      <c r="E41" s="193">
        <v>0</v>
      </c>
      <c r="F41" s="193">
        <f t="shared" ref="F41:F42" si="53">E41*D41</f>
        <v>0</v>
      </c>
      <c r="G41" s="193">
        <v>0</v>
      </c>
      <c r="H41" s="245">
        <f t="shared" si="50"/>
        <v>0</v>
      </c>
      <c r="I41" s="290">
        <f>SUMIFS('Cashbook ING'!$B:$B, 'Cashbook ING'!$A:$A, "AC_")*-1</f>
        <v>0</v>
      </c>
      <c r="J41" s="193">
        <f>SUMIFS('Cashbook Wix'!$B$2:$B$7106,'Cashbook Wix'!$A$2:$A$7106,"AC_")</f>
        <v>0</v>
      </c>
      <c r="K41" s="193">
        <v>0</v>
      </c>
      <c r="L41" s="193">
        <f t="shared" si="51"/>
        <v>0</v>
      </c>
      <c r="M41" s="290">
        <f t="shared" si="52"/>
        <v>0</v>
      </c>
      <c r="N41" s="299"/>
      <c r="O41" s="270"/>
      <c r="P41" s="270"/>
      <c r="Q41" s="270"/>
      <c r="R41" s="270"/>
      <c r="S41" s="270"/>
      <c r="T41" s="270"/>
      <c r="U41" s="270"/>
      <c r="V41" s="270"/>
      <c r="W41" s="270"/>
      <c r="X41" s="270"/>
      <c r="Y41" s="270"/>
      <c r="Z41" s="270"/>
    </row>
    <row r="42" spans="1:26" ht="27.75" customHeight="1" x14ac:dyDescent="0.3">
      <c r="A42" s="617"/>
      <c r="B42" s="289" t="s">
        <v>510</v>
      </c>
      <c r="C42" s="290">
        <v>0</v>
      </c>
      <c r="D42" s="160">
        <v>5</v>
      </c>
      <c r="E42" s="193">
        <v>0</v>
      </c>
      <c r="F42" s="193">
        <f t="shared" si="53"/>
        <v>0</v>
      </c>
      <c r="G42" s="193">
        <v>0</v>
      </c>
      <c r="H42" s="245">
        <f t="shared" si="50"/>
        <v>0</v>
      </c>
      <c r="I42" s="290">
        <f>SUMIFS('Cashbook ING'!$B:$B, 'Cashbook ING'!$A:$A, "AC_")*-1</f>
        <v>0</v>
      </c>
      <c r="J42" s="193">
        <f>SUMIFS('Cashbook Wix'!$B$2:$B$7106,'Cashbook Wix'!$A$2:$A$7106,"AC_")</f>
        <v>0</v>
      </c>
      <c r="K42" s="193">
        <v>0</v>
      </c>
      <c r="L42" s="245">
        <f t="shared" si="51"/>
        <v>0</v>
      </c>
      <c r="M42" s="193">
        <f t="shared" si="52"/>
        <v>0</v>
      </c>
      <c r="N42" s="299"/>
      <c r="O42" s="270"/>
      <c r="P42" s="270"/>
      <c r="Q42" s="270"/>
      <c r="R42" s="270"/>
      <c r="S42" s="270"/>
      <c r="T42" s="270"/>
      <c r="U42" s="270"/>
      <c r="V42" s="270"/>
      <c r="W42" s="270"/>
      <c r="X42" s="270"/>
      <c r="Y42" s="270"/>
      <c r="Z42" s="270"/>
    </row>
    <row r="43" spans="1:26" ht="27.75" customHeight="1" x14ac:dyDescent="0.3">
      <c r="A43" s="623"/>
      <c r="B43" s="279" t="s">
        <v>511</v>
      </c>
      <c r="C43" s="235">
        <f t="shared" ref="C43:D43" si="54">SUM(C39:C42)</f>
        <v>65</v>
      </c>
      <c r="D43" s="234">
        <f t="shared" si="54"/>
        <v>30</v>
      </c>
      <c r="E43" s="235">
        <v>0</v>
      </c>
      <c r="F43" s="235">
        <f t="shared" ref="F43:M43" si="55">SUM(F39:F42)</f>
        <v>0</v>
      </c>
      <c r="G43" s="235">
        <f t="shared" si="55"/>
        <v>50</v>
      </c>
      <c r="H43" s="232">
        <f t="shared" si="55"/>
        <v>-15</v>
      </c>
      <c r="I43" s="235">
        <f t="shared" si="55"/>
        <v>0</v>
      </c>
      <c r="J43" s="235">
        <f t="shared" si="55"/>
        <v>0</v>
      </c>
      <c r="K43" s="235">
        <f t="shared" si="55"/>
        <v>0</v>
      </c>
      <c r="L43" s="232">
        <f t="shared" si="55"/>
        <v>0</v>
      </c>
      <c r="M43" s="293">
        <f t="shared" si="55"/>
        <v>15</v>
      </c>
      <c r="N43" s="270"/>
      <c r="O43" s="270"/>
      <c r="P43" s="270"/>
      <c r="Q43" s="270"/>
      <c r="R43" s="270"/>
      <c r="S43" s="270"/>
      <c r="T43" s="270"/>
      <c r="U43" s="270"/>
      <c r="V43" s="270"/>
      <c r="W43" s="270"/>
      <c r="X43" s="270"/>
      <c r="Y43" s="270"/>
      <c r="Z43" s="270"/>
    </row>
    <row r="44" spans="1:26" ht="27.75" customHeight="1" x14ac:dyDescent="0.3">
      <c r="A44" s="630" t="s">
        <v>547</v>
      </c>
      <c r="B44" s="281" t="s">
        <v>529</v>
      </c>
      <c r="C44" s="254">
        <v>250</v>
      </c>
      <c r="D44" s="247">
        <v>0</v>
      </c>
      <c r="E44" s="241">
        <v>0</v>
      </c>
      <c r="F44" s="241">
        <v>0</v>
      </c>
      <c r="G44" s="239">
        <v>240</v>
      </c>
      <c r="H44" s="242">
        <f t="shared" ref="H44:H46" si="56">F44+G44-C44</f>
        <v>-10</v>
      </c>
      <c r="I44" s="239">
        <f>SUMIFS('Cashbook ING'!$B:$B, 'Cashbook ING'!$A:$A, "AC_StudySession_Snacks")*1</f>
        <v>-38.31</v>
      </c>
      <c r="J44" s="241">
        <v>0</v>
      </c>
      <c r="K44" s="241">
        <v>0</v>
      </c>
      <c r="L44" s="242">
        <f t="shared" ref="L44:L46" si="57">J44+K44+I44</f>
        <v>-38.31</v>
      </c>
      <c r="M44" s="243">
        <f t="shared" ref="M44:M46" si="58">L44-H44</f>
        <v>-28.310000000000002</v>
      </c>
      <c r="N44" s="270"/>
      <c r="O44" s="270"/>
      <c r="P44" s="270"/>
      <c r="Q44" s="270"/>
      <c r="R44" s="270"/>
      <c r="S44" s="270"/>
      <c r="T44" s="270"/>
      <c r="U44" s="270"/>
      <c r="V44" s="270"/>
      <c r="W44" s="270"/>
      <c r="X44" s="270"/>
      <c r="Y44" s="270"/>
      <c r="Z44" s="270"/>
    </row>
    <row r="45" spans="1:26" ht="27.75" customHeight="1" x14ac:dyDescent="0.3">
      <c r="A45" s="627"/>
      <c r="B45" s="278" t="s">
        <v>509</v>
      </c>
      <c r="C45" s="194">
        <v>0</v>
      </c>
      <c r="D45" s="143">
        <v>0</v>
      </c>
      <c r="E45" s="194">
        <v>0</v>
      </c>
      <c r="F45" s="194">
        <f t="shared" ref="F45:F46" si="59">E45*D45</f>
        <v>0</v>
      </c>
      <c r="G45" s="194">
        <v>0</v>
      </c>
      <c r="H45" s="228">
        <f t="shared" si="56"/>
        <v>0</v>
      </c>
      <c r="I45" s="194">
        <v>0</v>
      </c>
      <c r="J45" s="194">
        <f>SUMIFS('Cashbook Wix'!$B$2:$B$7106,'Cashbook Wix'!$A$2:$A$7106,"AC_")</f>
        <v>0</v>
      </c>
      <c r="K45" s="194">
        <v>0</v>
      </c>
      <c r="L45" s="228">
        <f t="shared" si="57"/>
        <v>0</v>
      </c>
      <c r="M45" s="145">
        <f t="shared" si="58"/>
        <v>0</v>
      </c>
      <c r="N45" s="270"/>
      <c r="O45" s="270"/>
      <c r="P45" s="270"/>
      <c r="Q45" s="270"/>
      <c r="R45" s="270"/>
      <c r="S45" s="270"/>
      <c r="T45" s="270"/>
      <c r="U45" s="270"/>
      <c r="V45" s="270"/>
      <c r="W45" s="270"/>
      <c r="X45" s="270"/>
      <c r="Y45" s="270"/>
      <c r="Z45" s="270"/>
    </row>
    <row r="46" spans="1:26" ht="27.75" customHeight="1" x14ac:dyDescent="0.3">
      <c r="A46" s="627"/>
      <c r="B46" s="278" t="s">
        <v>510</v>
      </c>
      <c r="C46" s="194">
        <v>0</v>
      </c>
      <c r="D46" s="143">
        <v>0</v>
      </c>
      <c r="E46" s="194">
        <v>0</v>
      </c>
      <c r="F46" s="194">
        <f t="shared" si="59"/>
        <v>0</v>
      </c>
      <c r="G46" s="194">
        <v>0</v>
      </c>
      <c r="H46" s="228">
        <f t="shared" si="56"/>
        <v>0</v>
      </c>
      <c r="I46" s="194">
        <v>0</v>
      </c>
      <c r="J46" s="194">
        <f>SUMIFS('Cashbook Wix'!$B$2:$B$7106,'Cashbook Wix'!$A$2:$A$7106,"AC_")</f>
        <v>0</v>
      </c>
      <c r="K46" s="194">
        <v>0</v>
      </c>
      <c r="L46" s="228">
        <f t="shared" si="57"/>
        <v>0</v>
      </c>
      <c r="M46" s="145">
        <f t="shared" si="58"/>
        <v>0</v>
      </c>
      <c r="N46" s="270"/>
      <c r="O46" s="270"/>
      <c r="P46" s="270"/>
      <c r="Q46" s="270"/>
      <c r="R46" s="270"/>
      <c r="S46" s="270"/>
      <c r="T46" s="270"/>
      <c r="U46" s="270"/>
      <c r="V46" s="270"/>
      <c r="W46" s="270"/>
      <c r="X46" s="270"/>
      <c r="Y46" s="270"/>
      <c r="Z46" s="270"/>
    </row>
    <row r="47" spans="1:26" ht="27.75" customHeight="1" x14ac:dyDescent="0.3">
      <c r="A47" s="628"/>
      <c r="B47" s="279" t="s">
        <v>511</v>
      </c>
      <c r="C47" s="292">
        <f t="shared" ref="C47:D47" si="60">SUM(C44:C46)</f>
        <v>250</v>
      </c>
      <c r="D47" s="234">
        <f t="shared" si="60"/>
        <v>0</v>
      </c>
      <c r="E47" s="235">
        <v>0</v>
      </c>
      <c r="F47" s="235">
        <f t="shared" ref="F47:H47" si="61">SUM(F44:F46)</f>
        <v>0</v>
      </c>
      <c r="G47" s="235">
        <f t="shared" si="61"/>
        <v>240</v>
      </c>
      <c r="H47" s="232">
        <f t="shared" si="61"/>
        <v>-10</v>
      </c>
      <c r="I47" s="235">
        <f>SUM(I44:I45)</f>
        <v>-38.31</v>
      </c>
      <c r="J47" s="235">
        <f t="shared" ref="J47:M47" si="62">SUM(J44:J46)</f>
        <v>0</v>
      </c>
      <c r="K47" s="235">
        <f t="shared" si="62"/>
        <v>0</v>
      </c>
      <c r="L47" s="232">
        <f t="shared" si="62"/>
        <v>-38.31</v>
      </c>
      <c r="M47" s="232">
        <f t="shared" si="62"/>
        <v>-28.310000000000002</v>
      </c>
      <c r="N47" s="270"/>
      <c r="O47" s="270"/>
      <c r="P47" s="270"/>
      <c r="Q47" s="270"/>
      <c r="R47" s="270"/>
      <c r="S47" s="270"/>
      <c r="T47" s="270"/>
      <c r="U47" s="270"/>
      <c r="V47" s="270"/>
      <c r="W47" s="270"/>
      <c r="X47" s="270"/>
      <c r="Y47" s="270"/>
      <c r="Z47" s="270"/>
    </row>
    <row r="48" spans="1:26" ht="27.75" customHeight="1" x14ac:dyDescent="0.3">
      <c r="A48" s="631" t="s">
        <v>548</v>
      </c>
      <c r="B48" s="281" t="s">
        <v>549</v>
      </c>
      <c r="C48" s="254">
        <v>300</v>
      </c>
      <c r="D48" s="247">
        <v>0</v>
      </c>
      <c r="E48" s="241">
        <v>0</v>
      </c>
      <c r="F48" s="241">
        <v>0</v>
      </c>
      <c r="G48" s="239">
        <v>200</v>
      </c>
      <c r="H48" s="300">
        <f t="shared" ref="H48:H51" si="63">F48+G48-C48</f>
        <v>-100</v>
      </c>
      <c r="I48" s="294">
        <f>SUMIFS('Cashbook ING'!$B:$B, 'Cashbook ING'!$A:$A, "AC_")*1</f>
        <v>0</v>
      </c>
      <c r="J48" s="241">
        <v>0</v>
      </c>
      <c r="K48" s="241">
        <v>0</v>
      </c>
      <c r="L48" s="242">
        <f t="shared" ref="L48:L51" si="64">J48+K48+I48</f>
        <v>0</v>
      </c>
      <c r="M48" s="243">
        <f t="shared" ref="M48:M51" si="65">L48-H48</f>
        <v>100</v>
      </c>
      <c r="N48" s="270"/>
      <c r="O48" s="270"/>
      <c r="P48" s="270"/>
      <c r="Q48" s="270"/>
      <c r="R48" s="270"/>
      <c r="S48" s="270"/>
      <c r="T48" s="270"/>
      <c r="U48" s="270"/>
      <c r="V48" s="270"/>
      <c r="W48" s="270"/>
      <c r="X48" s="270"/>
      <c r="Y48" s="270"/>
      <c r="Z48" s="270"/>
    </row>
    <row r="49" spans="1:26" ht="27.75" customHeight="1" x14ac:dyDescent="0.3">
      <c r="A49" s="627"/>
      <c r="B49" s="278" t="s">
        <v>550</v>
      </c>
      <c r="C49" s="194">
        <v>30</v>
      </c>
      <c r="D49" s="143">
        <v>0</v>
      </c>
      <c r="E49" s="194">
        <v>0</v>
      </c>
      <c r="F49" s="194">
        <v>0</v>
      </c>
      <c r="G49" s="193">
        <v>0</v>
      </c>
      <c r="H49" s="228">
        <f t="shared" si="63"/>
        <v>-30</v>
      </c>
      <c r="I49" s="193">
        <f>SUMIFS('Cashbook ING'!$B:$B, 'Cashbook ING'!$A:$A, "AC_")*1</f>
        <v>0</v>
      </c>
      <c r="J49" s="194">
        <v>0</v>
      </c>
      <c r="K49" s="194">
        <v>0</v>
      </c>
      <c r="L49" s="228">
        <f t="shared" si="64"/>
        <v>0</v>
      </c>
      <c r="M49" s="301">
        <f t="shared" si="65"/>
        <v>30</v>
      </c>
      <c r="N49" s="270"/>
      <c r="O49" s="270"/>
      <c r="P49" s="270"/>
      <c r="Q49" s="270"/>
      <c r="R49" s="270"/>
      <c r="S49" s="270"/>
      <c r="T49" s="270"/>
      <c r="U49" s="270"/>
      <c r="V49" s="270"/>
      <c r="W49" s="270"/>
      <c r="X49" s="270"/>
      <c r="Y49" s="270"/>
      <c r="Z49" s="270"/>
    </row>
    <row r="50" spans="1:26" ht="27.75" customHeight="1" x14ac:dyDescent="0.3">
      <c r="A50" s="627"/>
      <c r="B50" s="278" t="s">
        <v>509</v>
      </c>
      <c r="C50" s="194">
        <v>0</v>
      </c>
      <c r="D50" s="143">
        <v>25</v>
      </c>
      <c r="E50" s="194">
        <v>1.5</v>
      </c>
      <c r="F50" s="194">
        <f t="shared" ref="F50:F51" si="66">E50*D50</f>
        <v>37.5</v>
      </c>
      <c r="G50" s="194">
        <v>0</v>
      </c>
      <c r="H50" s="302">
        <f t="shared" si="63"/>
        <v>37.5</v>
      </c>
      <c r="I50" s="195">
        <v>0</v>
      </c>
      <c r="J50" s="194">
        <f>SUMIFS('Cashbook Wix'!$B$2:$B$7106,'Cashbook Wix'!$A$2:$A$7106,"AC_")</f>
        <v>0</v>
      </c>
      <c r="K50" s="194">
        <v>0</v>
      </c>
      <c r="L50" s="302">
        <f t="shared" si="64"/>
        <v>0</v>
      </c>
      <c r="M50" s="301">
        <f t="shared" si="65"/>
        <v>-37.5</v>
      </c>
      <c r="N50" s="270"/>
      <c r="O50" s="270"/>
      <c r="P50" s="270"/>
      <c r="Q50" s="270"/>
      <c r="R50" s="270"/>
      <c r="S50" s="270"/>
      <c r="T50" s="270"/>
      <c r="U50" s="270"/>
      <c r="V50" s="270"/>
      <c r="W50" s="270"/>
      <c r="X50" s="270"/>
      <c r="Y50" s="270"/>
      <c r="Z50" s="270"/>
    </row>
    <row r="51" spans="1:26" ht="27.75" customHeight="1" x14ac:dyDescent="0.3">
      <c r="A51" s="627"/>
      <c r="B51" s="278" t="s">
        <v>510</v>
      </c>
      <c r="C51" s="194">
        <v>0</v>
      </c>
      <c r="D51" s="143">
        <v>5</v>
      </c>
      <c r="E51" s="194">
        <v>2.5</v>
      </c>
      <c r="F51" s="194">
        <f t="shared" si="66"/>
        <v>12.5</v>
      </c>
      <c r="G51" s="194">
        <v>0</v>
      </c>
      <c r="H51" s="302">
        <f t="shared" si="63"/>
        <v>12.5</v>
      </c>
      <c r="I51" s="195">
        <v>0</v>
      </c>
      <c r="J51" s="194">
        <f>SUMIFS('Cashbook Wix'!$B$2:$B$7106,'Cashbook Wix'!$A$2:$A$7106,"AC_")</f>
        <v>0</v>
      </c>
      <c r="K51" s="194">
        <v>0</v>
      </c>
      <c r="L51" s="302">
        <f t="shared" si="64"/>
        <v>0</v>
      </c>
      <c r="M51" s="301">
        <f t="shared" si="65"/>
        <v>-12.5</v>
      </c>
      <c r="N51" s="299"/>
      <c r="O51" s="270"/>
      <c r="P51" s="270"/>
      <c r="Q51" s="270"/>
      <c r="R51" s="270"/>
      <c r="S51" s="270"/>
      <c r="T51" s="270"/>
      <c r="U51" s="270"/>
      <c r="V51" s="270"/>
      <c r="W51" s="270"/>
      <c r="X51" s="270"/>
      <c r="Y51" s="270"/>
      <c r="Z51" s="270"/>
    </row>
    <row r="52" spans="1:26" ht="27.75" customHeight="1" x14ac:dyDescent="0.3">
      <c r="A52" s="632"/>
      <c r="B52" s="303" t="s">
        <v>511</v>
      </c>
      <c r="C52" s="304">
        <f t="shared" ref="C52:D52" si="67">SUM(C48:C51)</f>
        <v>330</v>
      </c>
      <c r="D52" s="305">
        <f t="shared" si="67"/>
        <v>30</v>
      </c>
      <c r="E52" s="306">
        <v>0</v>
      </c>
      <c r="F52" s="306">
        <f t="shared" ref="F52:H52" si="68">SUM(F48:F51)</f>
        <v>50</v>
      </c>
      <c r="G52" s="306">
        <f t="shared" si="68"/>
        <v>200</v>
      </c>
      <c r="H52" s="306">
        <f t="shared" si="68"/>
        <v>-80</v>
      </c>
      <c r="I52" s="307">
        <f>SUM(I48:I50)</f>
        <v>0</v>
      </c>
      <c r="J52" s="306">
        <f t="shared" ref="J52:M52" si="69">SUM(J48:J51)</f>
        <v>0</v>
      </c>
      <c r="K52" s="306">
        <f t="shared" si="69"/>
        <v>0</v>
      </c>
      <c r="L52" s="308">
        <f t="shared" si="69"/>
        <v>0</v>
      </c>
      <c r="M52" s="308">
        <f t="shared" si="69"/>
        <v>80</v>
      </c>
      <c r="N52" s="270"/>
      <c r="O52" s="270"/>
      <c r="P52" s="270"/>
      <c r="Q52" s="270"/>
      <c r="R52" s="270"/>
      <c r="S52" s="270"/>
      <c r="T52" s="270"/>
      <c r="U52" s="270"/>
      <c r="V52" s="270"/>
      <c r="W52" s="270"/>
      <c r="X52" s="270"/>
      <c r="Y52" s="270"/>
      <c r="Z52" s="270"/>
    </row>
    <row r="53" spans="1:26" ht="27.75" customHeight="1" x14ac:dyDescent="0.35">
      <c r="A53" s="309"/>
      <c r="B53" s="310" t="s">
        <v>450</v>
      </c>
      <c r="C53" s="266">
        <f t="shared" ref="C53:M53" si="70">SUM(C6+C20+C11+C15+C24+C34+C38+C20+C43+C47+C52+C29)</f>
        <v>3300</v>
      </c>
      <c r="D53" s="266">
        <f t="shared" si="70"/>
        <v>445</v>
      </c>
      <c r="E53" s="266">
        <f t="shared" si="70"/>
        <v>0</v>
      </c>
      <c r="F53" s="266">
        <f t="shared" si="70"/>
        <v>540</v>
      </c>
      <c r="G53" s="266">
        <f t="shared" si="70"/>
        <v>2215</v>
      </c>
      <c r="H53" s="266">
        <f t="shared" si="70"/>
        <v>-545</v>
      </c>
      <c r="I53" s="266">
        <f t="shared" si="70"/>
        <v>-2304.94</v>
      </c>
      <c r="J53" s="266">
        <f t="shared" si="70"/>
        <v>122.72</v>
      </c>
      <c r="K53" s="266">
        <f t="shared" si="70"/>
        <v>0</v>
      </c>
      <c r="L53" s="311">
        <f t="shared" si="70"/>
        <v>-2182.2199999999998</v>
      </c>
      <c r="M53" s="311">
        <f t="shared" si="70"/>
        <v>-1637.2200000000003</v>
      </c>
      <c r="N53" s="270"/>
      <c r="O53" s="270"/>
      <c r="P53" s="270"/>
      <c r="Q53" s="270"/>
      <c r="R53" s="270"/>
      <c r="S53" s="270"/>
      <c r="T53" s="270"/>
      <c r="U53" s="270"/>
      <c r="V53" s="270"/>
      <c r="W53" s="270"/>
      <c r="X53" s="270"/>
      <c r="Y53" s="270"/>
      <c r="Z53" s="270"/>
    </row>
    <row r="54" spans="1:26" ht="27.75" customHeight="1" x14ac:dyDescent="0.2">
      <c r="A54" s="270"/>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row>
    <row r="55" spans="1:26" ht="27.75" customHeight="1" x14ac:dyDescent="0.2">
      <c r="A55" s="270"/>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row>
    <row r="56" spans="1:26" ht="27.75" customHeight="1" x14ac:dyDescent="0.2">
      <c r="A56" s="270"/>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row>
    <row r="57" spans="1:26" ht="27.75" customHeight="1" x14ac:dyDescent="0.2">
      <c r="A57" s="270"/>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row>
    <row r="58" spans="1:26" ht="27.75" customHeight="1" x14ac:dyDescent="0.2">
      <c r="A58" s="270"/>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row>
    <row r="59" spans="1:26" ht="14.25" customHeight="1" x14ac:dyDescent="0.2">
      <c r="A59" s="270"/>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row>
    <row r="60" spans="1:26" ht="14.25" customHeight="1" x14ac:dyDescent="0.2">
      <c r="A60" s="270"/>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row>
    <row r="61" spans="1:26" ht="42.75" customHeight="1" x14ac:dyDescent="0.2">
      <c r="A61" s="270"/>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row>
    <row r="62" spans="1:26" ht="27" customHeight="1" x14ac:dyDescent="0.2">
      <c r="A62" s="270"/>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row>
    <row r="63" spans="1:26" ht="38.25" customHeight="1" x14ac:dyDescent="0.2">
      <c r="A63" s="270"/>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row>
    <row r="64" spans="1:26" ht="14.25" customHeight="1" x14ac:dyDescent="0.2">
      <c r="A64" s="270"/>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row>
    <row r="65" spans="1:26" ht="14.25" customHeight="1" x14ac:dyDescent="0.2">
      <c r="A65" s="270"/>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row>
    <row r="66" spans="1:26" ht="14.25" customHeight="1" x14ac:dyDescent="0.2">
      <c r="A66" s="270"/>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row>
    <row r="67" spans="1:26" ht="14.25" customHeight="1" x14ac:dyDescent="0.2">
      <c r="A67" s="270"/>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row>
    <row r="68" spans="1:26" ht="14.25" customHeight="1" x14ac:dyDescent="0.2">
      <c r="A68" s="270"/>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row>
    <row r="69" spans="1:26" ht="14.25" customHeight="1" x14ac:dyDescent="0.2">
      <c r="A69" s="270"/>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row>
    <row r="70" spans="1:26" ht="14.25" customHeight="1" x14ac:dyDescent="0.2">
      <c r="A70" s="270"/>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row>
    <row r="71" spans="1:26" ht="14.25" customHeight="1" x14ac:dyDescent="0.2">
      <c r="A71" s="270"/>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row>
    <row r="72" spans="1:26" ht="14.25" customHeight="1" x14ac:dyDescent="0.2">
      <c r="A72" s="270"/>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row>
    <row r="73" spans="1:26" ht="14.25" customHeight="1" x14ac:dyDescent="0.2">
      <c r="A73" s="270"/>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row>
    <row r="74" spans="1:26" ht="14.25" customHeight="1" x14ac:dyDescent="0.2">
      <c r="A74" s="270"/>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row>
    <row r="75" spans="1:26" ht="14.25" customHeight="1" x14ac:dyDescent="0.2">
      <c r="A75" s="270"/>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row>
    <row r="76" spans="1:26" ht="14.25" customHeight="1" x14ac:dyDescent="0.2">
      <c r="A76" s="270"/>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row>
    <row r="77" spans="1:26" ht="14.25" customHeight="1" x14ac:dyDescent="0.2">
      <c r="A77" s="270"/>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row>
    <row r="78" spans="1:26" ht="14.25" customHeight="1" x14ac:dyDescent="0.2">
      <c r="A78" s="270"/>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row>
    <row r="79" spans="1:26" ht="14.25" customHeight="1" x14ac:dyDescent="0.2">
      <c r="A79" s="270"/>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row>
    <row r="80" spans="1:26" ht="14.25" customHeight="1" x14ac:dyDescent="0.2">
      <c r="A80" s="270"/>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row>
    <row r="81" spans="1:26" ht="14.25" customHeight="1" x14ac:dyDescent="0.2">
      <c r="A81" s="270"/>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row>
    <row r="82" spans="1:26" ht="14.25" customHeight="1" x14ac:dyDescent="0.2">
      <c r="A82" s="270"/>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row>
    <row r="83" spans="1:26" ht="14.25" customHeight="1" x14ac:dyDescent="0.2">
      <c r="A83" s="270"/>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row>
    <row r="84" spans="1:26" ht="14.25" customHeight="1" x14ac:dyDescent="0.2">
      <c r="A84" s="270"/>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row>
    <row r="85" spans="1:26" ht="14.25" customHeight="1" x14ac:dyDescent="0.2">
      <c r="A85" s="270"/>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row>
    <row r="86" spans="1:26" ht="14.25" customHeight="1" x14ac:dyDescent="0.2">
      <c r="A86" s="270"/>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row>
    <row r="87" spans="1:26" ht="14.25" customHeight="1" x14ac:dyDescent="0.2">
      <c r="A87" s="270"/>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row>
    <row r="88" spans="1:26" ht="14.25" customHeight="1" x14ac:dyDescent="0.2">
      <c r="A88" s="270"/>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row>
    <row r="89" spans="1:26" ht="14.25" customHeight="1" x14ac:dyDescent="0.2">
      <c r="A89" s="270"/>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row>
    <row r="90" spans="1:26" ht="14.25" customHeight="1" x14ac:dyDescent="0.2">
      <c r="A90" s="270"/>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row>
    <row r="91" spans="1:26" ht="14.25" customHeight="1" x14ac:dyDescent="0.2">
      <c r="A91" s="270"/>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row>
    <row r="92" spans="1:26" ht="14.25" customHeight="1" x14ac:dyDescent="0.2">
      <c r="A92" s="270"/>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row>
    <row r="93" spans="1:26" ht="14.25" customHeight="1" x14ac:dyDescent="0.2">
      <c r="A93" s="270"/>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row>
    <row r="94" spans="1:26" ht="14.25" customHeight="1" x14ac:dyDescent="0.2">
      <c r="A94" s="270"/>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row>
    <row r="95" spans="1:26" ht="14.25" customHeight="1" x14ac:dyDescent="0.2">
      <c r="A95" s="270"/>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row>
    <row r="96" spans="1:26" ht="14.25" customHeight="1" x14ac:dyDescent="0.2">
      <c r="A96" s="270"/>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row>
    <row r="97" spans="1:26" ht="14.25" customHeight="1" x14ac:dyDescent="0.2">
      <c r="A97" s="270"/>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row>
    <row r="98" spans="1:26" ht="14.25" customHeight="1" x14ac:dyDescent="0.2">
      <c r="A98" s="270"/>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row>
    <row r="99" spans="1:26" ht="14.25" customHeight="1" x14ac:dyDescent="0.2">
      <c r="A99" s="270"/>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row>
    <row r="100" spans="1:26" ht="14.25" customHeight="1" x14ac:dyDescent="0.2">
      <c r="A100" s="270"/>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row>
    <row r="101" spans="1:26" ht="14.25" customHeight="1" x14ac:dyDescent="0.2">
      <c r="A101" s="270"/>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row>
    <row r="102" spans="1:26" ht="14.25" customHeight="1" x14ac:dyDescent="0.2">
      <c r="A102" s="270"/>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row>
    <row r="103" spans="1:26" ht="14.25" customHeight="1" x14ac:dyDescent="0.2">
      <c r="A103" s="270"/>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row>
    <row r="104" spans="1:26" ht="14.25" customHeight="1" x14ac:dyDescent="0.2">
      <c r="A104" s="270"/>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row>
    <row r="105" spans="1:26" ht="14.25" customHeight="1" x14ac:dyDescent="0.2">
      <c r="A105" s="270"/>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row>
    <row r="106" spans="1:26" ht="14.25" customHeight="1" x14ac:dyDescent="0.2">
      <c r="A106" s="270"/>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row>
    <row r="107" spans="1:26" ht="14.25" customHeight="1" x14ac:dyDescent="0.2">
      <c r="A107" s="270"/>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row>
    <row r="108" spans="1:26" ht="14.25" customHeight="1" x14ac:dyDescent="0.2">
      <c r="A108" s="270"/>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row>
    <row r="109" spans="1:26" ht="14.25" customHeight="1" x14ac:dyDescent="0.2">
      <c r="A109" s="270"/>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row>
    <row r="110" spans="1:26" ht="14.25" customHeight="1" x14ac:dyDescent="0.2">
      <c r="A110" s="270"/>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row>
    <row r="111" spans="1:26" ht="14.25" customHeight="1" x14ac:dyDescent="0.2">
      <c r="A111" s="270"/>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row>
    <row r="112" spans="1:26" ht="14.25" customHeight="1" x14ac:dyDescent="0.2">
      <c r="A112" s="270"/>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row>
    <row r="113" spans="1:26" ht="14.25" customHeight="1" x14ac:dyDescent="0.2">
      <c r="A113" s="270"/>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row>
    <row r="114" spans="1:26" ht="14.25" customHeight="1" x14ac:dyDescent="0.2">
      <c r="A114" s="270"/>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row>
    <row r="115" spans="1:26" ht="14.25" customHeight="1" x14ac:dyDescent="0.2">
      <c r="A115" s="270"/>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row>
    <row r="116" spans="1:26" ht="14.25" customHeight="1" x14ac:dyDescent="0.2">
      <c r="A116" s="270"/>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row>
    <row r="117" spans="1:26" ht="14.25" customHeight="1" x14ac:dyDescent="0.2">
      <c r="A117" s="270"/>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row>
    <row r="118" spans="1:26" ht="14.25" customHeight="1" x14ac:dyDescent="0.2">
      <c r="A118" s="270"/>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row>
    <row r="119" spans="1:26" ht="14.25" customHeight="1" x14ac:dyDescent="0.2">
      <c r="A119" s="270"/>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row>
    <row r="120" spans="1:26" ht="14.25" customHeight="1" x14ac:dyDescent="0.2">
      <c r="A120" s="270"/>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row>
    <row r="121" spans="1:26" ht="14.25" customHeight="1" x14ac:dyDescent="0.2">
      <c r="A121" s="270"/>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row>
    <row r="122" spans="1:26" ht="14.25" customHeight="1" x14ac:dyDescent="0.2">
      <c r="A122" s="270"/>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row>
    <row r="123" spans="1:26" ht="14.25" customHeight="1" x14ac:dyDescent="0.2">
      <c r="A123" s="270"/>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row>
    <row r="124" spans="1:26" ht="14.25" customHeight="1" x14ac:dyDescent="0.2">
      <c r="A124" s="270"/>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row>
    <row r="125" spans="1:26" ht="14.25" customHeight="1" x14ac:dyDescent="0.2">
      <c r="A125" s="270"/>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row>
    <row r="126" spans="1:26" ht="14.25" customHeight="1" x14ac:dyDescent="0.2">
      <c r="A126" s="270"/>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row>
    <row r="127" spans="1:26" ht="14.25" customHeight="1" x14ac:dyDescent="0.2">
      <c r="A127" s="270"/>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row>
    <row r="128" spans="1:26" ht="14.25" customHeight="1" x14ac:dyDescent="0.2">
      <c r="A128" s="270"/>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row>
    <row r="129" spans="1:26" ht="14.25" customHeight="1" x14ac:dyDescent="0.2">
      <c r="A129" s="270"/>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row>
    <row r="130" spans="1:26" ht="14.25" customHeight="1" x14ac:dyDescent="0.2">
      <c r="A130" s="270"/>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row>
    <row r="131" spans="1:26" ht="14.25" customHeight="1" x14ac:dyDescent="0.2">
      <c r="A131" s="270"/>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row>
    <row r="132" spans="1:26" ht="14.25" customHeight="1" x14ac:dyDescent="0.2">
      <c r="A132" s="270"/>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row>
    <row r="133" spans="1:26" ht="14.25" customHeight="1" x14ac:dyDescent="0.2">
      <c r="A133" s="270"/>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row>
    <row r="134" spans="1:26" ht="14.25" customHeight="1" x14ac:dyDescent="0.2">
      <c r="A134" s="270"/>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row>
    <row r="135" spans="1:26" ht="14.25" customHeight="1" x14ac:dyDescent="0.2">
      <c r="A135" s="270"/>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row>
    <row r="136" spans="1:26" ht="14.25" customHeight="1" x14ac:dyDescent="0.2">
      <c r="A136" s="270"/>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row>
    <row r="137" spans="1:26" ht="14.25" customHeight="1" x14ac:dyDescent="0.2">
      <c r="A137" s="270"/>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row>
    <row r="138" spans="1:26" ht="14.25" customHeight="1" x14ac:dyDescent="0.2">
      <c r="A138" s="270"/>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row>
    <row r="139" spans="1:26" ht="14.25" customHeight="1" x14ac:dyDescent="0.2">
      <c r="A139" s="270"/>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row>
    <row r="140" spans="1:26" ht="14.25" customHeight="1" x14ac:dyDescent="0.2">
      <c r="A140" s="270"/>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row>
    <row r="141" spans="1:26" ht="14.25" customHeight="1" x14ac:dyDescent="0.2">
      <c r="A141" s="270"/>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row>
    <row r="142" spans="1:26" ht="14.25" customHeight="1" x14ac:dyDescent="0.2">
      <c r="A142" s="270"/>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row>
    <row r="143" spans="1:26" ht="14.25" customHeight="1" x14ac:dyDescent="0.2">
      <c r="A143" s="270"/>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row>
    <row r="144" spans="1:26" ht="14.25" customHeight="1" x14ac:dyDescent="0.2">
      <c r="A144" s="270"/>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row>
    <row r="145" spans="1:26" ht="14.25" customHeight="1" x14ac:dyDescent="0.2">
      <c r="A145" s="270"/>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row>
    <row r="146" spans="1:26" ht="14.25" customHeight="1" x14ac:dyDescent="0.2">
      <c r="A146" s="270"/>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row>
    <row r="147" spans="1:26" ht="14.25" customHeight="1" x14ac:dyDescent="0.2">
      <c r="A147" s="270"/>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row>
    <row r="148" spans="1:26" ht="14.25" customHeight="1" x14ac:dyDescent="0.2">
      <c r="A148" s="270"/>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row>
    <row r="149" spans="1:26" ht="14.25" customHeight="1" x14ac:dyDescent="0.2">
      <c r="A149" s="270"/>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row>
    <row r="150" spans="1:26" ht="14.25" customHeight="1" x14ac:dyDescent="0.2">
      <c r="A150" s="270"/>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row>
    <row r="151" spans="1:26" ht="14.25" customHeight="1" x14ac:dyDescent="0.2">
      <c r="A151" s="270"/>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row>
    <row r="152" spans="1:26" ht="14.25" customHeight="1" x14ac:dyDescent="0.2">
      <c r="A152" s="270"/>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row>
    <row r="153" spans="1:26" ht="14.25" customHeight="1" x14ac:dyDescent="0.2">
      <c r="A153" s="270"/>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row>
    <row r="154" spans="1:26" ht="14.25" customHeight="1" x14ac:dyDescent="0.2">
      <c r="A154" s="270"/>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row>
    <row r="155" spans="1:26" ht="14.25" customHeight="1" x14ac:dyDescent="0.2">
      <c r="A155" s="270"/>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row>
    <row r="156" spans="1:26" ht="14.25" customHeight="1" x14ac:dyDescent="0.2">
      <c r="A156" s="270"/>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row>
    <row r="157" spans="1:26" ht="14.25" customHeight="1" x14ac:dyDescent="0.2">
      <c r="A157" s="270"/>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row>
    <row r="158" spans="1:26" ht="14.25" customHeight="1" x14ac:dyDescent="0.2">
      <c r="A158" s="270"/>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row>
    <row r="159" spans="1:26" ht="14.25" customHeight="1" x14ac:dyDescent="0.2">
      <c r="A159" s="270"/>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row>
    <row r="160" spans="1:26" ht="14.25" customHeight="1" x14ac:dyDescent="0.2">
      <c r="A160" s="270"/>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row>
    <row r="161" spans="1:26" ht="14.25" customHeight="1" x14ac:dyDescent="0.2">
      <c r="A161" s="270"/>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row>
    <row r="162" spans="1:26" ht="14.25" customHeight="1" x14ac:dyDescent="0.2">
      <c r="A162" s="270"/>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row>
    <row r="163" spans="1:26" ht="14.25" customHeight="1" x14ac:dyDescent="0.2">
      <c r="A163" s="270"/>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row>
    <row r="164" spans="1:26" ht="14.25" customHeight="1" x14ac:dyDescent="0.2">
      <c r="A164" s="270"/>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row>
    <row r="165" spans="1:26" ht="14.25" customHeight="1" x14ac:dyDescent="0.2">
      <c r="A165" s="270"/>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row>
    <row r="166" spans="1:26" ht="14.25" customHeight="1" x14ac:dyDescent="0.2">
      <c r="A166" s="270"/>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row>
    <row r="167" spans="1:26" ht="14.25" customHeight="1" x14ac:dyDescent="0.2">
      <c r="A167" s="270"/>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row>
    <row r="168" spans="1:26" ht="14.25" customHeight="1" x14ac:dyDescent="0.2">
      <c r="A168" s="270"/>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row>
    <row r="169" spans="1:26" ht="14.25" customHeight="1" x14ac:dyDescent="0.2">
      <c r="A169" s="270"/>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row>
    <row r="170" spans="1:26" ht="14.25" customHeight="1" x14ac:dyDescent="0.2">
      <c r="A170" s="270"/>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row>
    <row r="171" spans="1:26" ht="14.25" customHeight="1" x14ac:dyDescent="0.2">
      <c r="A171" s="270"/>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row>
    <row r="172" spans="1:26" ht="14.25" customHeight="1" x14ac:dyDescent="0.2">
      <c r="A172" s="270"/>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row>
    <row r="173" spans="1:26" ht="14.25" customHeight="1" x14ac:dyDescent="0.2">
      <c r="A173" s="270"/>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row>
    <row r="174" spans="1:26" ht="14.25" customHeight="1" x14ac:dyDescent="0.2">
      <c r="A174" s="270"/>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row>
    <row r="175" spans="1:26" ht="14.25" customHeight="1" x14ac:dyDescent="0.2">
      <c r="A175" s="270"/>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row>
    <row r="176" spans="1:26" ht="14.25" customHeight="1" x14ac:dyDescent="0.2">
      <c r="A176" s="270"/>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row>
    <row r="177" spans="1:26" ht="14.25" customHeight="1" x14ac:dyDescent="0.2">
      <c r="A177" s="270"/>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row>
    <row r="178" spans="1:26" ht="14.25" customHeight="1" x14ac:dyDescent="0.2">
      <c r="A178" s="270"/>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row>
    <row r="179" spans="1:26" ht="14.25" customHeight="1" x14ac:dyDescent="0.2">
      <c r="A179" s="270"/>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row>
    <row r="180" spans="1:26" ht="14.25" customHeight="1" x14ac:dyDescent="0.2">
      <c r="A180" s="270"/>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row>
    <row r="181" spans="1:26" ht="14.25" customHeight="1" x14ac:dyDescent="0.2">
      <c r="A181" s="270"/>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row>
    <row r="182" spans="1:26" ht="14.25" customHeight="1" x14ac:dyDescent="0.2">
      <c r="A182" s="270"/>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row>
    <row r="183" spans="1:26" ht="14.25" customHeight="1" x14ac:dyDescent="0.2">
      <c r="A183" s="270"/>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row>
    <row r="184" spans="1:26" ht="14.25" customHeight="1" x14ac:dyDescent="0.2">
      <c r="A184" s="270"/>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row>
    <row r="185" spans="1:26" ht="14.25" customHeight="1" x14ac:dyDescent="0.2">
      <c r="A185" s="270"/>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row>
    <row r="186" spans="1:26" ht="14.25" customHeight="1" x14ac:dyDescent="0.2">
      <c r="A186" s="270"/>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row>
    <row r="187" spans="1:26" ht="14.25" customHeight="1" x14ac:dyDescent="0.2">
      <c r="A187" s="270"/>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row>
    <row r="188" spans="1:26" ht="14.25" customHeight="1" x14ac:dyDescent="0.2">
      <c r="A188" s="270"/>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row>
    <row r="189" spans="1:26" ht="14.25" customHeight="1" x14ac:dyDescent="0.2">
      <c r="A189" s="270"/>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row>
    <row r="190" spans="1:26" ht="14.25" customHeight="1" x14ac:dyDescent="0.2">
      <c r="A190" s="270"/>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row>
    <row r="191" spans="1:26" ht="14.25" customHeight="1" x14ac:dyDescent="0.2">
      <c r="A191" s="270"/>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row>
    <row r="192" spans="1:26" ht="14.25" customHeight="1" x14ac:dyDescent="0.2">
      <c r="A192" s="270"/>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row>
    <row r="193" spans="1:26" ht="14.25" customHeight="1" x14ac:dyDescent="0.2">
      <c r="A193" s="270"/>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row>
    <row r="194" spans="1:26" ht="14.25" customHeight="1" x14ac:dyDescent="0.2">
      <c r="A194" s="270"/>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row>
    <row r="195" spans="1:26" ht="14.25" customHeight="1" x14ac:dyDescent="0.2">
      <c r="A195" s="270"/>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row>
    <row r="196" spans="1:26" ht="14.25" customHeight="1" x14ac:dyDescent="0.2">
      <c r="A196" s="270"/>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row>
    <row r="197" spans="1:26" ht="14.25" customHeight="1" x14ac:dyDescent="0.2">
      <c r="A197" s="270"/>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row>
    <row r="198" spans="1:26" ht="14.25" customHeight="1" x14ac:dyDescent="0.2">
      <c r="A198" s="270"/>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row>
    <row r="199" spans="1:26" ht="14.25" customHeight="1" x14ac:dyDescent="0.2">
      <c r="A199" s="270"/>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row>
    <row r="200" spans="1:26" ht="14.25" customHeight="1" x14ac:dyDescent="0.2">
      <c r="A200" s="270"/>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row>
    <row r="201" spans="1:26" ht="14.25" customHeight="1" x14ac:dyDescent="0.2">
      <c r="A201" s="270"/>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row>
    <row r="202" spans="1:26" ht="14.25" customHeight="1" x14ac:dyDescent="0.2">
      <c r="A202" s="270"/>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row>
    <row r="203" spans="1:26" ht="14.25" customHeight="1" x14ac:dyDescent="0.2">
      <c r="A203" s="270"/>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row>
    <row r="204" spans="1:26" ht="14.25" customHeight="1" x14ac:dyDescent="0.2">
      <c r="A204" s="270"/>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row>
    <row r="205" spans="1:26" ht="14.25" customHeight="1" x14ac:dyDescent="0.2">
      <c r="A205" s="270"/>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row>
    <row r="206" spans="1:26" ht="14.25" customHeight="1" x14ac:dyDescent="0.2">
      <c r="A206" s="270"/>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row>
    <row r="207" spans="1:26" ht="14.25" customHeight="1" x14ac:dyDescent="0.2">
      <c r="A207" s="270"/>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row>
    <row r="208" spans="1:26" ht="14.25" customHeight="1" x14ac:dyDescent="0.2">
      <c r="A208" s="270"/>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row>
    <row r="209" spans="1:26" ht="14.25" customHeight="1" x14ac:dyDescent="0.2">
      <c r="A209" s="270"/>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row>
    <row r="210" spans="1:26" ht="14.25" customHeight="1" x14ac:dyDescent="0.2">
      <c r="A210" s="270"/>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row>
    <row r="211" spans="1:26" ht="14.25" customHeight="1" x14ac:dyDescent="0.2">
      <c r="A211" s="270"/>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row>
    <row r="212" spans="1:26" ht="14.25" customHeight="1" x14ac:dyDescent="0.2">
      <c r="A212" s="270"/>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row>
    <row r="213" spans="1:26" ht="14.25" customHeight="1" x14ac:dyDescent="0.2">
      <c r="A213" s="270"/>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row>
    <row r="214" spans="1:26" ht="14.25" customHeight="1" x14ac:dyDescent="0.2">
      <c r="A214" s="270"/>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row>
    <row r="215" spans="1:26" ht="14.25" customHeight="1" x14ac:dyDescent="0.2">
      <c r="A215" s="270"/>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row>
    <row r="216" spans="1:26" ht="14.25" customHeight="1" x14ac:dyDescent="0.2">
      <c r="A216" s="270"/>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row>
    <row r="217" spans="1:26" ht="14.25" customHeight="1" x14ac:dyDescent="0.2">
      <c r="A217" s="270"/>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row>
    <row r="218" spans="1:26" ht="14.25" customHeight="1" x14ac:dyDescent="0.2">
      <c r="A218" s="270"/>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row>
    <row r="219" spans="1:26" ht="14.25" customHeight="1" x14ac:dyDescent="0.2">
      <c r="A219" s="270"/>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row>
    <row r="220" spans="1:26" ht="14.25" customHeight="1" x14ac:dyDescent="0.2">
      <c r="A220" s="270"/>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row>
    <row r="221" spans="1:26" ht="14.25" customHeight="1" x14ac:dyDescent="0.2">
      <c r="A221" s="270"/>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row>
    <row r="222" spans="1:26" ht="14.25" customHeight="1" x14ac:dyDescent="0.2">
      <c r="A222" s="270"/>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row>
    <row r="223" spans="1:26" ht="14.25" customHeight="1" x14ac:dyDescent="0.2">
      <c r="A223" s="270"/>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row>
    <row r="224" spans="1:26" ht="14.25" customHeight="1" x14ac:dyDescent="0.2">
      <c r="A224" s="270"/>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row>
    <row r="225" spans="1:26" ht="14.25" customHeight="1" x14ac:dyDescent="0.2">
      <c r="A225" s="270"/>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row>
    <row r="226" spans="1:26" ht="14.25" customHeight="1" x14ac:dyDescent="0.2">
      <c r="A226" s="270"/>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row>
    <row r="227" spans="1:26" ht="14.25" customHeight="1" x14ac:dyDescent="0.2">
      <c r="A227" s="270"/>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row>
    <row r="228" spans="1:26" ht="14.25" customHeight="1" x14ac:dyDescent="0.2">
      <c r="A228" s="270"/>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row>
    <row r="229" spans="1:26" ht="14.25" customHeight="1" x14ac:dyDescent="0.2">
      <c r="A229" s="270"/>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row>
    <row r="230" spans="1:26" ht="14.25" customHeight="1" x14ac:dyDescent="0.2">
      <c r="A230" s="270"/>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row>
    <row r="231" spans="1:26" ht="14.25" customHeight="1" x14ac:dyDescent="0.2">
      <c r="A231" s="270"/>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row>
    <row r="232" spans="1:26" ht="14.25" customHeight="1" x14ac:dyDescent="0.2">
      <c r="A232" s="270"/>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row>
    <row r="233" spans="1:26" ht="14.25" customHeight="1" x14ac:dyDescent="0.2">
      <c r="A233" s="270"/>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row>
    <row r="234" spans="1:26" ht="14.25" customHeight="1" x14ac:dyDescent="0.2">
      <c r="A234" s="270"/>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row>
    <row r="235" spans="1:26" ht="14.25" customHeight="1" x14ac:dyDescent="0.2">
      <c r="A235" s="270"/>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row>
    <row r="236" spans="1:26" ht="14.25" customHeight="1" x14ac:dyDescent="0.2">
      <c r="A236" s="270"/>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row>
    <row r="237" spans="1:26" ht="14.25" customHeight="1" x14ac:dyDescent="0.2">
      <c r="A237" s="270"/>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row>
    <row r="238" spans="1:26" ht="14.25" customHeight="1" x14ac:dyDescent="0.2">
      <c r="A238" s="270"/>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row>
    <row r="239" spans="1:26" ht="14.25" customHeight="1" x14ac:dyDescent="0.2">
      <c r="A239" s="270"/>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row>
    <row r="240" spans="1:26" ht="14.25" customHeight="1" x14ac:dyDescent="0.2">
      <c r="A240" s="270"/>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row>
    <row r="241" spans="1:26" ht="14.25" customHeight="1" x14ac:dyDescent="0.2">
      <c r="A241" s="270"/>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row>
    <row r="242" spans="1:26" ht="14.25" customHeight="1" x14ac:dyDescent="0.2">
      <c r="A242" s="270"/>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row>
    <row r="243" spans="1:26" ht="14.25" customHeight="1" x14ac:dyDescent="0.2">
      <c r="A243" s="270"/>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row>
    <row r="244" spans="1:26" ht="14.25" customHeight="1" x14ac:dyDescent="0.2">
      <c r="A244" s="270"/>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row>
    <row r="245" spans="1:26" ht="14.25" customHeight="1" x14ac:dyDescent="0.2">
      <c r="A245" s="270"/>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row>
    <row r="246" spans="1:26" ht="14.25" customHeight="1" x14ac:dyDescent="0.2">
      <c r="A246" s="270"/>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row>
    <row r="247" spans="1:26" ht="14.25" customHeight="1" x14ac:dyDescent="0.2">
      <c r="A247" s="270"/>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row>
    <row r="248" spans="1:26" ht="14.25" customHeight="1" x14ac:dyDescent="0.2">
      <c r="A248" s="270"/>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row>
    <row r="249" spans="1:26" ht="14.25" customHeight="1" x14ac:dyDescent="0.2">
      <c r="A249" s="270"/>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row>
    <row r="250" spans="1:26" ht="14.25" customHeight="1" x14ac:dyDescent="0.2">
      <c r="A250" s="270"/>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row>
    <row r="251" spans="1:26" ht="14.25" customHeight="1" x14ac:dyDescent="0.2">
      <c r="A251" s="270"/>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row>
    <row r="252" spans="1:26" ht="14.25" customHeight="1" x14ac:dyDescent="0.2">
      <c r="A252" s="270"/>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row>
    <row r="253" spans="1:26" ht="14.25" customHeight="1" x14ac:dyDescent="0.2">
      <c r="A253" s="270"/>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row>
    <row r="254" spans="1:26" ht="14.25" customHeight="1" x14ac:dyDescent="0.2">
      <c r="A254" s="270"/>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row>
    <row r="255" spans="1:26" ht="14.25" customHeight="1" x14ac:dyDescent="0.2">
      <c r="A255" s="270"/>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row>
    <row r="256" spans="1:26" ht="14.25" customHeight="1" x14ac:dyDescent="0.2">
      <c r="A256" s="270"/>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row>
    <row r="257" spans="1:26" ht="14.25" customHeight="1" x14ac:dyDescent="0.2">
      <c r="A257" s="270"/>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row>
    <row r="258" spans="1:26" ht="14.25" customHeight="1" x14ac:dyDescent="0.2">
      <c r="A258" s="270"/>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row>
    <row r="259" spans="1:26" ht="14.25" customHeight="1" x14ac:dyDescent="0.2">
      <c r="A259" s="270"/>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row>
    <row r="260" spans="1:26" ht="14.25" customHeight="1" x14ac:dyDescent="0.2">
      <c r="A260" s="270"/>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row>
    <row r="261" spans="1:26" ht="14.25" customHeight="1" x14ac:dyDescent="0.2">
      <c r="A261" s="270"/>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row>
    <row r="262" spans="1:26" ht="14.25" customHeight="1" x14ac:dyDescent="0.2">
      <c r="A262" s="270"/>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row>
    <row r="263" spans="1:26" ht="14.25" customHeight="1" x14ac:dyDescent="0.2">
      <c r="A263" s="270"/>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row>
    <row r="264" spans="1:26" ht="14.25" customHeight="1" x14ac:dyDescent="0.2">
      <c r="A264" s="270"/>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row>
    <row r="265" spans="1:26" ht="14.25" customHeight="1" x14ac:dyDescent="0.2">
      <c r="A265" s="270"/>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row>
    <row r="266" spans="1:26" ht="14.25" customHeight="1" x14ac:dyDescent="0.2">
      <c r="A266" s="270"/>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row>
    <row r="267" spans="1:26" ht="14.25" customHeight="1" x14ac:dyDescent="0.2">
      <c r="A267" s="270"/>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row>
    <row r="268" spans="1:26" ht="14.25" customHeight="1" x14ac:dyDescent="0.2">
      <c r="A268" s="270"/>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row>
    <row r="269" spans="1:26" ht="14.25" customHeight="1" x14ac:dyDescent="0.2">
      <c r="A269" s="270"/>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row>
    <row r="270" spans="1:26" ht="14.25" customHeight="1" x14ac:dyDescent="0.2">
      <c r="A270" s="270"/>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row>
    <row r="271" spans="1:26" ht="14.25" customHeight="1" x14ac:dyDescent="0.2">
      <c r="A271" s="270"/>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row>
    <row r="272" spans="1:26" ht="14.25" customHeight="1" x14ac:dyDescent="0.2">
      <c r="A272" s="270"/>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row>
    <row r="273" spans="1:26" ht="14.25" customHeight="1" x14ac:dyDescent="0.2">
      <c r="A273" s="270"/>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row>
    <row r="274" spans="1:26" ht="14.25" customHeight="1" x14ac:dyDescent="0.2">
      <c r="A274" s="270"/>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row>
    <row r="275" spans="1:26" ht="14.25" customHeight="1" x14ac:dyDescent="0.2">
      <c r="A275" s="270"/>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row>
    <row r="276" spans="1:26" ht="14.25" customHeight="1" x14ac:dyDescent="0.2">
      <c r="A276" s="270"/>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row>
    <row r="277" spans="1:26" ht="14.25" customHeight="1" x14ac:dyDescent="0.2">
      <c r="A277" s="270"/>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row>
    <row r="278" spans="1:26" ht="14.25" customHeight="1" x14ac:dyDescent="0.2">
      <c r="A278" s="270"/>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row>
    <row r="279" spans="1:26" ht="14.25" customHeight="1" x14ac:dyDescent="0.2">
      <c r="A279" s="270"/>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row>
    <row r="280" spans="1:26" ht="14.25" customHeight="1" x14ac:dyDescent="0.2">
      <c r="A280" s="270"/>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row>
    <row r="281" spans="1:26" ht="14.25" customHeight="1" x14ac:dyDescent="0.2">
      <c r="A281" s="270"/>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row>
    <row r="282" spans="1:26" ht="14.25" customHeight="1" x14ac:dyDescent="0.2">
      <c r="A282" s="270"/>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row>
    <row r="283" spans="1:26" ht="14.25" customHeight="1" x14ac:dyDescent="0.2">
      <c r="A283" s="270"/>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row>
    <row r="284" spans="1:26" ht="14.25" customHeight="1" x14ac:dyDescent="0.2">
      <c r="A284" s="270"/>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row>
    <row r="285" spans="1:26" ht="14.25" customHeight="1" x14ac:dyDescent="0.2">
      <c r="A285" s="270"/>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row>
    <row r="286" spans="1:26" ht="14.25" customHeight="1" x14ac:dyDescent="0.2">
      <c r="A286" s="270"/>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row>
    <row r="287" spans="1:26" ht="14.25" customHeight="1" x14ac:dyDescent="0.2">
      <c r="A287" s="270"/>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row>
    <row r="288" spans="1:26" ht="14.25" customHeight="1" x14ac:dyDescent="0.2">
      <c r="A288" s="270"/>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row>
    <row r="289" spans="1:26" ht="14.25" customHeight="1" x14ac:dyDescent="0.2">
      <c r="A289" s="270"/>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row>
    <row r="290" spans="1:26" ht="14.25" customHeight="1" x14ac:dyDescent="0.2">
      <c r="A290" s="270"/>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row>
    <row r="291" spans="1:26" ht="14.25" customHeight="1" x14ac:dyDescent="0.2">
      <c r="A291" s="270"/>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row>
    <row r="292" spans="1:26" ht="14.25" customHeight="1" x14ac:dyDescent="0.2">
      <c r="A292" s="270"/>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row>
    <row r="293" spans="1:26" ht="14.25" customHeight="1" x14ac:dyDescent="0.2">
      <c r="A293" s="270"/>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row>
    <row r="294" spans="1:26" ht="14.25" customHeight="1" x14ac:dyDescent="0.2">
      <c r="A294" s="270"/>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row>
    <row r="295" spans="1:26" ht="14.25" customHeight="1" x14ac:dyDescent="0.2">
      <c r="A295" s="270"/>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row>
    <row r="296" spans="1:26" ht="14.25" customHeight="1" x14ac:dyDescent="0.2">
      <c r="A296" s="270"/>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row>
    <row r="297" spans="1:26" ht="14.25" customHeight="1" x14ac:dyDescent="0.2">
      <c r="A297" s="270"/>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row>
    <row r="298" spans="1:26" ht="14.25" customHeight="1" x14ac:dyDescent="0.2">
      <c r="A298" s="270"/>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row>
    <row r="299" spans="1:26" ht="14.25" customHeight="1" x14ac:dyDescent="0.2">
      <c r="A299" s="270"/>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row>
    <row r="300" spans="1:26" ht="14.25" customHeight="1" x14ac:dyDescent="0.2">
      <c r="A300" s="270"/>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row>
    <row r="301" spans="1:26" ht="14.25" customHeight="1" x14ac:dyDescent="0.2">
      <c r="A301" s="270"/>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row>
    <row r="302" spans="1:26" ht="14.25" customHeight="1" x14ac:dyDescent="0.2">
      <c r="A302" s="270"/>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row>
    <row r="303" spans="1:26" ht="14.25" customHeight="1" x14ac:dyDescent="0.2">
      <c r="A303" s="270"/>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row>
    <row r="304" spans="1:26" ht="14.25" customHeight="1" x14ac:dyDescent="0.2">
      <c r="A304" s="270"/>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row>
    <row r="305" spans="1:26" ht="14.25" customHeight="1" x14ac:dyDescent="0.2">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row>
    <row r="306" spans="1:26" ht="14.25" customHeight="1" x14ac:dyDescent="0.2">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row>
    <row r="307" spans="1:26" ht="14.25" customHeight="1" x14ac:dyDescent="0.2">
      <c r="A307" s="270"/>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row>
    <row r="308" spans="1:26" ht="14.25" customHeight="1" x14ac:dyDescent="0.2">
      <c r="A308" s="270"/>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row>
    <row r="309" spans="1:26" ht="14.25" customHeight="1" x14ac:dyDescent="0.2">
      <c r="A309" s="270"/>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row>
    <row r="310" spans="1:26" ht="14.25" customHeight="1" x14ac:dyDescent="0.2">
      <c r="A310" s="270"/>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row>
    <row r="311" spans="1:26" ht="14.25" customHeight="1" x14ac:dyDescent="0.2">
      <c r="A311" s="270"/>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row>
    <row r="312" spans="1:26" ht="14.25" customHeight="1" x14ac:dyDescent="0.2">
      <c r="A312" s="270"/>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row>
    <row r="313" spans="1:26" ht="14.25" customHeight="1" x14ac:dyDescent="0.2">
      <c r="A313" s="270"/>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row>
    <row r="314" spans="1:26" ht="14.25" customHeight="1" x14ac:dyDescent="0.2">
      <c r="A314" s="270"/>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row>
    <row r="315" spans="1:26" ht="14.25" customHeight="1" x14ac:dyDescent="0.2">
      <c r="A315" s="270"/>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row>
    <row r="316" spans="1:26" ht="14.25" customHeight="1" x14ac:dyDescent="0.2">
      <c r="A316" s="270"/>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row>
    <row r="317" spans="1:26" ht="14.25" customHeight="1" x14ac:dyDescent="0.2">
      <c r="A317" s="270"/>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row>
    <row r="318" spans="1:26" ht="14.25" customHeight="1" x14ac:dyDescent="0.2">
      <c r="A318" s="270"/>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row>
    <row r="319" spans="1:26" ht="14.25" customHeight="1" x14ac:dyDescent="0.2">
      <c r="A319" s="270"/>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row>
    <row r="320" spans="1:26" ht="14.25" customHeight="1" x14ac:dyDescent="0.2">
      <c r="A320" s="270"/>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row>
    <row r="321" spans="1:26" ht="14.25" customHeight="1" x14ac:dyDescent="0.2">
      <c r="A321" s="270"/>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row>
    <row r="322" spans="1:26" ht="14.25" customHeight="1" x14ac:dyDescent="0.2">
      <c r="A322" s="270"/>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row>
    <row r="323" spans="1:26" ht="14.25" customHeight="1" x14ac:dyDescent="0.2">
      <c r="A323" s="270"/>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row>
    <row r="324" spans="1:26" ht="14.25" customHeight="1" x14ac:dyDescent="0.2">
      <c r="A324" s="270"/>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row>
    <row r="325" spans="1:26" ht="14.25" customHeight="1" x14ac:dyDescent="0.2">
      <c r="A325" s="270"/>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row>
    <row r="326" spans="1:26" ht="14.25" customHeight="1" x14ac:dyDescent="0.2">
      <c r="A326" s="270"/>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row>
    <row r="327" spans="1:26" ht="14.25" customHeight="1" x14ac:dyDescent="0.2">
      <c r="A327" s="270"/>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row>
    <row r="328" spans="1:26" ht="14.25" customHeight="1" x14ac:dyDescent="0.2">
      <c r="A328" s="270"/>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row>
    <row r="329" spans="1:26" ht="14.25" customHeight="1" x14ac:dyDescent="0.2">
      <c r="A329" s="270"/>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row>
    <row r="330" spans="1:26" ht="14.25" customHeight="1" x14ac:dyDescent="0.2">
      <c r="A330" s="270"/>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row>
    <row r="331" spans="1:26" ht="14.25" customHeight="1" x14ac:dyDescent="0.2">
      <c r="A331" s="270"/>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row>
    <row r="332" spans="1:26" ht="14.25" customHeight="1" x14ac:dyDescent="0.2">
      <c r="A332" s="270"/>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row>
    <row r="333" spans="1:26" ht="14.25" customHeight="1" x14ac:dyDescent="0.2">
      <c r="A333" s="270"/>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row>
    <row r="334" spans="1:26" ht="14.25" customHeight="1" x14ac:dyDescent="0.2">
      <c r="A334" s="270"/>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row>
    <row r="335" spans="1:26" ht="14.25" customHeight="1" x14ac:dyDescent="0.2">
      <c r="A335" s="270"/>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row>
    <row r="336" spans="1:26" ht="14.25" customHeight="1" x14ac:dyDescent="0.2">
      <c r="A336" s="270"/>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row>
    <row r="337" spans="1:26" ht="14.25" customHeight="1" x14ac:dyDescent="0.2">
      <c r="A337" s="270"/>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row>
    <row r="338" spans="1:26" ht="14.25" customHeight="1" x14ac:dyDescent="0.2">
      <c r="A338" s="270"/>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row>
    <row r="339" spans="1:26" ht="14.25" customHeight="1" x14ac:dyDescent="0.2">
      <c r="A339" s="270"/>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row>
    <row r="340" spans="1:26" ht="14.25" customHeight="1" x14ac:dyDescent="0.2">
      <c r="A340" s="270"/>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row>
    <row r="341" spans="1:26" ht="14.25" customHeight="1" x14ac:dyDescent="0.2">
      <c r="A341" s="270"/>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row>
    <row r="342" spans="1:26" ht="14.25" customHeight="1" x14ac:dyDescent="0.2">
      <c r="A342" s="270"/>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row>
    <row r="343" spans="1:26" ht="14.25" customHeight="1" x14ac:dyDescent="0.2">
      <c r="A343" s="270"/>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row>
    <row r="344" spans="1:26" ht="14.25" customHeight="1" x14ac:dyDescent="0.2">
      <c r="A344" s="270"/>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row>
    <row r="345" spans="1:26" ht="14.25" customHeight="1" x14ac:dyDescent="0.2">
      <c r="A345" s="270"/>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row>
    <row r="346" spans="1:26" ht="14.25" customHeight="1" x14ac:dyDescent="0.2">
      <c r="A346" s="270"/>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row>
    <row r="347" spans="1:26" ht="14.25" customHeight="1" x14ac:dyDescent="0.2">
      <c r="A347" s="270"/>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row>
    <row r="348" spans="1:26" ht="14.25" customHeight="1" x14ac:dyDescent="0.2">
      <c r="A348" s="270"/>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row>
    <row r="349" spans="1:26" ht="14.25" customHeight="1" x14ac:dyDescent="0.2">
      <c r="A349" s="270"/>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row>
    <row r="350" spans="1:26" ht="14.25" customHeight="1" x14ac:dyDescent="0.2">
      <c r="A350" s="270"/>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row>
    <row r="351" spans="1:26" ht="14.25" customHeight="1" x14ac:dyDescent="0.2">
      <c r="A351" s="270"/>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row>
    <row r="352" spans="1:26" ht="14.25" customHeight="1" x14ac:dyDescent="0.2">
      <c r="A352" s="270"/>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row>
    <row r="353" spans="1:26" ht="14.25" customHeight="1" x14ac:dyDescent="0.2">
      <c r="A353" s="270"/>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row>
    <row r="354" spans="1:26" ht="14.25" customHeight="1" x14ac:dyDescent="0.2">
      <c r="A354" s="270"/>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row>
    <row r="355" spans="1:26" ht="14.25" customHeight="1" x14ac:dyDescent="0.2">
      <c r="A355" s="270"/>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row>
    <row r="356" spans="1:26" ht="14.25" customHeight="1" x14ac:dyDescent="0.2">
      <c r="A356" s="270"/>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row>
    <row r="357" spans="1:26" ht="14.25" customHeight="1" x14ac:dyDescent="0.2">
      <c r="A357" s="270"/>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row>
    <row r="358" spans="1:26" ht="14.25" customHeight="1" x14ac:dyDescent="0.2">
      <c r="A358" s="270"/>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row>
    <row r="359" spans="1:26" ht="14.25" customHeight="1" x14ac:dyDescent="0.2">
      <c r="A359" s="270"/>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row>
    <row r="360" spans="1:26" ht="14.25" customHeight="1" x14ac:dyDescent="0.2">
      <c r="A360" s="270"/>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row>
    <row r="361" spans="1:26" ht="14.25" customHeight="1" x14ac:dyDescent="0.2">
      <c r="A361" s="270"/>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row>
    <row r="362" spans="1:26" ht="14.25" customHeight="1" x14ac:dyDescent="0.2">
      <c r="A362" s="270"/>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row>
    <row r="363" spans="1:26" ht="14.25" customHeight="1" x14ac:dyDescent="0.2">
      <c r="A363" s="270"/>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row>
    <row r="364" spans="1:26" ht="14.25" customHeight="1" x14ac:dyDescent="0.2">
      <c r="A364" s="270"/>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row>
    <row r="365" spans="1:26" ht="14.25" customHeight="1" x14ac:dyDescent="0.2">
      <c r="A365" s="270"/>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row>
    <row r="366" spans="1:26" ht="14.25" customHeight="1" x14ac:dyDescent="0.2">
      <c r="A366" s="270"/>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row>
    <row r="367" spans="1:26" ht="14.25" customHeight="1" x14ac:dyDescent="0.2">
      <c r="A367" s="270"/>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row>
    <row r="368" spans="1:26" ht="14.25" customHeight="1" x14ac:dyDescent="0.2">
      <c r="A368" s="270"/>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row>
    <row r="369" spans="1:26" ht="14.25" customHeight="1" x14ac:dyDescent="0.2">
      <c r="A369" s="270"/>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row>
    <row r="370" spans="1:26" ht="14.25" customHeight="1" x14ac:dyDescent="0.2">
      <c r="A370" s="270"/>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row>
    <row r="371" spans="1:26" ht="14.25" customHeight="1" x14ac:dyDescent="0.2">
      <c r="A371" s="270"/>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row>
    <row r="372" spans="1:26" ht="14.25" customHeight="1" x14ac:dyDescent="0.2">
      <c r="A372" s="270"/>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row>
    <row r="373" spans="1:26" ht="14.25" customHeight="1" x14ac:dyDescent="0.2">
      <c r="A373" s="270"/>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row>
    <row r="374" spans="1:26" ht="14.25" customHeight="1" x14ac:dyDescent="0.2">
      <c r="A374" s="270"/>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row>
    <row r="375" spans="1:26" ht="14.25" customHeight="1" x14ac:dyDescent="0.2">
      <c r="A375" s="270"/>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row>
    <row r="376" spans="1:26" ht="14.25" customHeight="1" x14ac:dyDescent="0.2">
      <c r="A376" s="270"/>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row>
    <row r="377" spans="1:26" ht="14.25" customHeight="1" x14ac:dyDescent="0.2">
      <c r="A377" s="270"/>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row>
    <row r="378" spans="1:26" ht="14.25" customHeight="1" x14ac:dyDescent="0.2">
      <c r="A378" s="270"/>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row>
    <row r="379" spans="1:26" ht="14.25" customHeight="1" x14ac:dyDescent="0.2">
      <c r="A379" s="270"/>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row>
    <row r="380" spans="1:26" ht="14.25" customHeight="1" x14ac:dyDescent="0.2">
      <c r="A380" s="270"/>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row>
    <row r="381" spans="1:26" ht="14.25" customHeight="1" x14ac:dyDescent="0.2">
      <c r="A381" s="270"/>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row>
    <row r="382" spans="1:26" ht="14.25" customHeight="1" x14ac:dyDescent="0.2">
      <c r="A382" s="270"/>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row>
    <row r="383" spans="1:26" ht="14.25" customHeight="1" x14ac:dyDescent="0.2">
      <c r="A383" s="270"/>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row>
    <row r="384" spans="1:26" ht="14.25" customHeight="1" x14ac:dyDescent="0.2">
      <c r="A384" s="270"/>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row>
    <row r="385" spans="1:26" ht="14.25" customHeight="1" x14ac:dyDescent="0.2">
      <c r="A385" s="270"/>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row>
    <row r="386" spans="1:26" ht="14.25" customHeight="1" x14ac:dyDescent="0.2">
      <c r="A386" s="270"/>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row>
    <row r="387" spans="1:26" ht="14.25" customHeight="1" x14ac:dyDescent="0.2">
      <c r="A387" s="270"/>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row>
    <row r="388" spans="1:26" ht="14.25" customHeight="1" x14ac:dyDescent="0.2">
      <c r="A388" s="270"/>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row>
    <row r="389" spans="1:26" ht="14.25" customHeight="1" x14ac:dyDescent="0.2">
      <c r="A389" s="270"/>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row>
    <row r="390" spans="1:26" ht="14.25" customHeight="1" x14ac:dyDescent="0.2">
      <c r="A390" s="270"/>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row>
    <row r="391" spans="1:26" ht="14.25" customHeight="1" x14ac:dyDescent="0.2">
      <c r="A391" s="270"/>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row>
    <row r="392" spans="1:26" ht="14.25" customHeight="1" x14ac:dyDescent="0.2">
      <c r="A392" s="270"/>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row>
    <row r="393" spans="1:26" ht="14.25" customHeight="1" x14ac:dyDescent="0.2">
      <c r="A393" s="270"/>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row>
    <row r="394" spans="1:26" ht="14.25" customHeight="1" x14ac:dyDescent="0.2">
      <c r="A394" s="270"/>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row>
    <row r="395" spans="1:26" ht="14.25" customHeight="1" x14ac:dyDescent="0.2">
      <c r="A395" s="270"/>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row>
    <row r="396" spans="1:26" ht="14.25" customHeight="1" x14ac:dyDescent="0.2">
      <c r="A396" s="270"/>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row>
    <row r="397" spans="1:26" ht="14.25" customHeight="1" x14ac:dyDescent="0.2">
      <c r="A397" s="270"/>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row>
    <row r="398" spans="1:26" ht="14.25" customHeight="1" x14ac:dyDescent="0.2">
      <c r="A398" s="270"/>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row>
    <row r="399" spans="1:26" ht="14.25" customHeight="1" x14ac:dyDescent="0.2">
      <c r="A399" s="270"/>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row>
    <row r="400" spans="1:26" ht="14.25" customHeight="1" x14ac:dyDescent="0.2">
      <c r="A400" s="270"/>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row>
    <row r="401" spans="1:26" ht="14.25" customHeight="1" x14ac:dyDescent="0.2">
      <c r="A401" s="270"/>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row>
    <row r="402" spans="1:26" ht="14.25" customHeight="1" x14ac:dyDescent="0.2">
      <c r="A402" s="270"/>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row>
    <row r="403" spans="1:26" ht="14.25" customHeight="1" x14ac:dyDescent="0.2">
      <c r="A403" s="270"/>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row>
    <row r="404" spans="1:26" ht="14.25" customHeight="1" x14ac:dyDescent="0.2">
      <c r="A404" s="270"/>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row>
    <row r="405" spans="1:26" ht="14.25" customHeight="1" x14ac:dyDescent="0.2">
      <c r="A405" s="270"/>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row>
    <row r="406" spans="1:26" ht="14.25" customHeight="1" x14ac:dyDescent="0.2">
      <c r="A406" s="270"/>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row>
    <row r="407" spans="1:26" ht="14.25" customHeight="1" x14ac:dyDescent="0.2">
      <c r="A407" s="270"/>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row>
    <row r="408" spans="1:26" ht="14.25" customHeight="1" x14ac:dyDescent="0.2">
      <c r="A408" s="270"/>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row>
    <row r="409" spans="1:26" ht="14.25" customHeight="1" x14ac:dyDescent="0.2">
      <c r="A409" s="270"/>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row>
    <row r="410" spans="1:26" ht="14.25" customHeight="1" x14ac:dyDescent="0.2">
      <c r="A410" s="270"/>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row>
    <row r="411" spans="1:26" ht="14.25" customHeight="1" x14ac:dyDescent="0.2">
      <c r="A411" s="270"/>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row>
    <row r="412" spans="1:26" ht="14.25" customHeight="1" x14ac:dyDescent="0.2">
      <c r="A412" s="270"/>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row>
    <row r="413" spans="1:26" ht="14.25" customHeight="1" x14ac:dyDescent="0.2">
      <c r="A413" s="270"/>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row>
    <row r="414" spans="1:26" ht="14.25" customHeight="1" x14ac:dyDescent="0.2">
      <c r="A414" s="270"/>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row>
    <row r="415" spans="1:26" ht="14.25" customHeight="1" x14ac:dyDescent="0.2">
      <c r="A415" s="270"/>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row>
    <row r="416" spans="1:26" ht="14.25" customHeight="1" x14ac:dyDescent="0.2">
      <c r="A416" s="270"/>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row>
    <row r="417" spans="1:26" ht="14.25" customHeight="1" x14ac:dyDescent="0.2">
      <c r="A417" s="270"/>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row>
    <row r="418" spans="1:26" ht="14.25" customHeight="1" x14ac:dyDescent="0.2">
      <c r="A418" s="270"/>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row>
    <row r="419" spans="1:26" ht="14.25" customHeight="1" x14ac:dyDescent="0.2">
      <c r="A419" s="270"/>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row>
    <row r="420" spans="1:26" ht="14.25" customHeight="1" x14ac:dyDescent="0.2">
      <c r="A420" s="270"/>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row>
    <row r="421" spans="1:26" ht="14.25" customHeight="1" x14ac:dyDescent="0.2">
      <c r="A421" s="270"/>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row>
    <row r="422" spans="1:26" ht="14.25" customHeight="1" x14ac:dyDescent="0.2">
      <c r="A422" s="270"/>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row>
    <row r="423" spans="1:26" ht="14.25" customHeight="1" x14ac:dyDescent="0.2">
      <c r="A423" s="270"/>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row>
    <row r="424" spans="1:26" ht="14.25" customHeight="1" x14ac:dyDescent="0.2">
      <c r="A424" s="270"/>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row>
    <row r="425" spans="1:26" ht="14.25" customHeight="1" x14ac:dyDescent="0.2">
      <c r="A425" s="270"/>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row>
    <row r="426" spans="1:26" ht="14.25" customHeight="1" x14ac:dyDescent="0.2">
      <c r="A426" s="270"/>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row>
    <row r="427" spans="1:26" ht="14.25" customHeight="1" x14ac:dyDescent="0.2">
      <c r="A427" s="270"/>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row>
    <row r="428" spans="1:26" ht="14.25" customHeight="1" x14ac:dyDescent="0.2">
      <c r="A428" s="270"/>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row>
    <row r="429" spans="1:26" ht="14.25" customHeight="1" x14ac:dyDescent="0.2">
      <c r="A429" s="270"/>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row>
    <row r="430" spans="1:26" ht="14.25" customHeight="1" x14ac:dyDescent="0.2">
      <c r="A430" s="270"/>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row>
    <row r="431" spans="1:26" ht="14.25" customHeight="1" x14ac:dyDescent="0.2">
      <c r="A431" s="270"/>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row>
    <row r="432" spans="1:26" ht="14.25" customHeight="1" x14ac:dyDescent="0.2">
      <c r="A432" s="270"/>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row>
    <row r="433" spans="1:26" ht="14.25" customHeight="1" x14ac:dyDescent="0.2">
      <c r="A433" s="270"/>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row>
    <row r="434" spans="1:26" ht="14.25" customHeight="1" x14ac:dyDescent="0.2">
      <c r="A434" s="270"/>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row>
    <row r="435" spans="1:26" ht="14.25" customHeight="1" x14ac:dyDescent="0.2">
      <c r="A435" s="270"/>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row>
    <row r="436" spans="1:26" ht="14.25" customHeight="1" x14ac:dyDescent="0.2">
      <c r="A436" s="270"/>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row>
    <row r="437" spans="1:26" ht="14.25" customHeight="1" x14ac:dyDescent="0.2">
      <c r="A437" s="270"/>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row>
    <row r="438" spans="1:26" ht="14.25" customHeight="1" x14ac:dyDescent="0.2">
      <c r="A438" s="270"/>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row>
    <row r="439" spans="1:26" ht="14.25" customHeight="1" x14ac:dyDescent="0.2">
      <c r="A439" s="270"/>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row>
    <row r="440" spans="1:26" ht="14.25" customHeight="1" x14ac:dyDescent="0.2">
      <c r="A440" s="270"/>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row>
    <row r="441" spans="1:26" ht="14.25" customHeight="1" x14ac:dyDescent="0.2">
      <c r="A441" s="270"/>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row>
    <row r="442" spans="1:26" ht="14.25" customHeight="1" x14ac:dyDescent="0.2">
      <c r="A442" s="270"/>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row>
    <row r="443" spans="1:26" ht="14.25" customHeight="1" x14ac:dyDescent="0.2">
      <c r="A443" s="270"/>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row>
    <row r="444" spans="1:26" ht="14.25" customHeight="1" x14ac:dyDescent="0.2">
      <c r="A444" s="270"/>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row>
    <row r="445" spans="1:26" ht="14.25" customHeight="1" x14ac:dyDescent="0.2">
      <c r="A445" s="270"/>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row>
    <row r="446" spans="1:26" ht="14.25" customHeight="1" x14ac:dyDescent="0.2">
      <c r="A446" s="270"/>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row>
    <row r="447" spans="1:26" ht="14.25" customHeight="1" x14ac:dyDescent="0.2">
      <c r="A447" s="270"/>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row>
    <row r="448" spans="1:26" ht="14.25" customHeight="1" x14ac:dyDescent="0.2">
      <c r="A448" s="270"/>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row>
    <row r="449" spans="1:26" ht="14.25" customHeight="1" x14ac:dyDescent="0.2">
      <c r="A449" s="270"/>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row>
    <row r="450" spans="1:26" ht="14.25" customHeight="1" x14ac:dyDescent="0.2">
      <c r="A450" s="270"/>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row>
    <row r="451" spans="1:26" ht="14.25" customHeight="1" x14ac:dyDescent="0.2">
      <c r="A451" s="270"/>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row>
    <row r="452" spans="1:26" ht="14.25" customHeight="1" x14ac:dyDescent="0.2">
      <c r="A452" s="270"/>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row>
    <row r="453" spans="1:26" ht="14.25" customHeight="1" x14ac:dyDescent="0.2">
      <c r="A453" s="270"/>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row>
    <row r="454" spans="1:26" ht="14.25" customHeight="1" x14ac:dyDescent="0.2">
      <c r="A454" s="270"/>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row>
    <row r="455" spans="1:26" ht="14.25" customHeight="1" x14ac:dyDescent="0.2">
      <c r="A455" s="270"/>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row>
    <row r="456" spans="1:26" ht="14.25" customHeight="1" x14ac:dyDescent="0.2">
      <c r="A456" s="270"/>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row>
    <row r="457" spans="1:26" ht="14.25" customHeight="1" x14ac:dyDescent="0.2">
      <c r="A457" s="270"/>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row>
    <row r="458" spans="1:26" ht="14.25" customHeight="1" x14ac:dyDescent="0.2">
      <c r="A458" s="270"/>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row>
    <row r="459" spans="1:26" ht="14.25" customHeight="1" x14ac:dyDescent="0.2">
      <c r="A459" s="270"/>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row>
    <row r="460" spans="1:26" ht="14.25" customHeight="1" x14ac:dyDescent="0.2">
      <c r="A460" s="270"/>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row>
    <row r="461" spans="1:26" ht="14.25" customHeight="1" x14ac:dyDescent="0.2">
      <c r="A461" s="270"/>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row>
    <row r="462" spans="1:26" ht="14.25" customHeight="1" x14ac:dyDescent="0.2">
      <c r="A462" s="270"/>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row>
    <row r="463" spans="1:26" ht="14.25" customHeight="1" x14ac:dyDescent="0.2">
      <c r="A463" s="270"/>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row>
    <row r="464" spans="1:26" ht="14.25" customHeight="1" x14ac:dyDescent="0.2">
      <c r="A464" s="270"/>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row>
    <row r="465" spans="1:26" ht="14.25" customHeight="1" x14ac:dyDescent="0.2">
      <c r="A465" s="270"/>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row>
    <row r="466" spans="1:26" ht="14.25" customHeight="1" x14ac:dyDescent="0.2">
      <c r="A466" s="270"/>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row>
    <row r="467" spans="1:26" ht="14.25" customHeight="1" x14ac:dyDescent="0.2">
      <c r="A467" s="270"/>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row>
    <row r="468" spans="1:26" ht="14.25" customHeight="1" x14ac:dyDescent="0.2">
      <c r="A468" s="270"/>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row>
    <row r="469" spans="1:26" ht="14.25" customHeight="1" x14ac:dyDescent="0.2">
      <c r="A469" s="270"/>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row>
    <row r="470" spans="1:26" ht="14.25" customHeight="1" x14ac:dyDescent="0.2">
      <c r="A470" s="270"/>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row>
    <row r="471" spans="1:26" ht="14.25" customHeight="1" x14ac:dyDescent="0.2">
      <c r="A471" s="270"/>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row>
    <row r="472" spans="1:26" ht="14.25" customHeight="1" x14ac:dyDescent="0.2">
      <c r="A472" s="270"/>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row>
    <row r="473" spans="1:26" ht="14.25" customHeight="1" x14ac:dyDescent="0.2">
      <c r="A473" s="270"/>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row>
    <row r="474" spans="1:26" ht="14.25" customHeight="1" x14ac:dyDescent="0.2">
      <c r="A474" s="270"/>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row>
    <row r="475" spans="1:26" ht="14.25" customHeight="1" x14ac:dyDescent="0.2">
      <c r="A475" s="270"/>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row>
    <row r="476" spans="1:26" ht="14.25" customHeight="1" x14ac:dyDescent="0.2">
      <c r="A476" s="270"/>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row>
    <row r="477" spans="1:26" ht="14.25" customHeight="1" x14ac:dyDescent="0.2">
      <c r="A477" s="270"/>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row>
    <row r="478" spans="1:26" ht="14.25" customHeight="1" x14ac:dyDescent="0.2">
      <c r="A478" s="270"/>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row>
    <row r="479" spans="1:26" ht="14.25" customHeight="1" x14ac:dyDescent="0.2">
      <c r="A479" s="270"/>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row>
    <row r="480" spans="1:26" ht="14.25" customHeight="1" x14ac:dyDescent="0.2">
      <c r="A480" s="270"/>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row>
    <row r="481" spans="1:26" ht="14.25" customHeight="1" x14ac:dyDescent="0.2">
      <c r="A481" s="270"/>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row>
    <row r="482" spans="1:26" ht="14.25" customHeight="1" x14ac:dyDescent="0.2">
      <c r="A482" s="270"/>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row>
    <row r="483" spans="1:26" ht="14.25" customHeight="1" x14ac:dyDescent="0.2">
      <c r="A483" s="270"/>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row>
    <row r="484" spans="1:26" ht="14.25" customHeight="1" x14ac:dyDescent="0.2">
      <c r="A484" s="270"/>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row>
    <row r="485" spans="1:26" ht="14.25" customHeight="1" x14ac:dyDescent="0.2">
      <c r="A485" s="270"/>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row>
    <row r="486" spans="1:26" ht="14.25" customHeight="1" x14ac:dyDescent="0.2">
      <c r="A486" s="270"/>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row>
    <row r="487" spans="1:26" ht="14.25" customHeight="1" x14ac:dyDescent="0.2">
      <c r="A487" s="270"/>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row>
    <row r="488" spans="1:26" ht="14.25" customHeight="1" x14ac:dyDescent="0.2">
      <c r="A488" s="270"/>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row>
    <row r="489" spans="1:26" ht="14.25" customHeight="1" x14ac:dyDescent="0.2">
      <c r="A489" s="270"/>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row>
    <row r="490" spans="1:26" ht="14.25" customHeight="1" x14ac:dyDescent="0.2">
      <c r="A490" s="270"/>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row>
    <row r="491" spans="1:26" ht="14.25" customHeight="1" x14ac:dyDescent="0.2">
      <c r="A491" s="270"/>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row>
    <row r="492" spans="1:26" ht="14.25" customHeight="1" x14ac:dyDescent="0.2">
      <c r="A492" s="270"/>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row>
    <row r="493" spans="1:26" ht="14.25" customHeight="1" x14ac:dyDescent="0.2">
      <c r="A493" s="270"/>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row>
    <row r="494" spans="1:26" ht="14.25" customHeight="1" x14ac:dyDescent="0.2">
      <c r="A494" s="270"/>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row>
    <row r="495" spans="1:26" ht="14.25" customHeight="1" x14ac:dyDescent="0.2">
      <c r="A495" s="270"/>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row>
    <row r="496" spans="1:26" ht="14.25" customHeight="1" x14ac:dyDescent="0.2">
      <c r="A496" s="270"/>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row>
    <row r="497" spans="1:26" ht="14.25" customHeight="1" x14ac:dyDescent="0.2">
      <c r="A497" s="270"/>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row>
    <row r="498" spans="1:26" ht="14.25" customHeight="1" x14ac:dyDescent="0.2">
      <c r="A498" s="270"/>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row>
    <row r="499" spans="1:26" ht="14.25" customHeight="1" x14ac:dyDescent="0.2">
      <c r="A499" s="270"/>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row>
    <row r="500" spans="1:26" ht="14.25" customHeight="1" x14ac:dyDescent="0.2">
      <c r="A500" s="270"/>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row>
    <row r="501" spans="1:26" ht="14.25" customHeight="1" x14ac:dyDescent="0.2">
      <c r="A501" s="270"/>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row>
    <row r="502" spans="1:26" ht="14.25" customHeight="1" x14ac:dyDescent="0.2">
      <c r="A502" s="270"/>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row>
    <row r="503" spans="1:26" ht="14.25" customHeight="1" x14ac:dyDescent="0.2">
      <c r="A503" s="270"/>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row>
    <row r="504" spans="1:26" ht="14.25" customHeight="1" x14ac:dyDescent="0.2">
      <c r="A504" s="270"/>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row>
    <row r="505" spans="1:26" ht="14.25" customHeight="1" x14ac:dyDescent="0.2">
      <c r="A505" s="270"/>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row>
    <row r="506" spans="1:26" ht="14.25" customHeight="1" x14ac:dyDescent="0.2">
      <c r="A506" s="270"/>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row>
    <row r="507" spans="1:26" ht="14.25" customHeight="1" x14ac:dyDescent="0.2">
      <c r="A507" s="270"/>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row>
    <row r="508" spans="1:26" ht="14.25" customHeight="1" x14ac:dyDescent="0.2">
      <c r="A508" s="270"/>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row>
    <row r="509" spans="1:26" ht="14.25" customHeight="1" x14ac:dyDescent="0.2">
      <c r="A509" s="270"/>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row>
    <row r="510" spans="1:26" ht="14.25" customHeight="1" x14ac:dyDescent="0.2">
      <c r="A510" s="270"/>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row>
    <row r="511" spans="1:26" ht="14.25" customHeight="1" x14ac:dyDescent="0.2">
      <c r="A511" s="270"/>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row>
    <row r="512" spans="1:26" ht="14.25" customHeight="1" x14ac:dyDescent="0.2">
      <c r="A512" s="270"/>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row>
    <row r="513" spans="1:26" ht="14.25" customHeight="1" x14ac:dyDescent="0.2">
      <c r="A513" s="270"/>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row>
    <row r="514" spans="1:26" ht="14.25" customHeight="1" x14ac:dyDescent="0.2">
      <c r="A514" s="270"/>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row>
    <row r="515" spans="1:26" ht="14.25" customHeight="1" x14ac:dyDescent="0.2">
      <c r="A515" s="270"/>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row>
    <row r="516" spans="1:26" ht="14.25" customHeight="1" x14ac:dyDescent="0.2">
      <c r="A516" s="270"/>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row>
    <row r="517" spans="1:26" ht="14.25" customHeight="1" x14ac:dyDescent="0.2">
      <c r="A517" s="270"/>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row>
    <row r="518" spans="1:26" ht="14.25" customHeight="1" x14ac:dyDescent="0.2">
      <c r="A518" s="270"/>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row>
    <row r="519" spans="1:26" ht="14.25" customHeight="1" x14ac:dyDescent="0.2">
      <c r="A519" s="270"/>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row>
    <row r="520" spans="1:26" ht="14.25" customHeight="1" x14ac:dyDescent="0.2">
      <c r="A520" s="270"/>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row>
    <row r="521" spans="1:26" ht="14.25" customHeight="1" x14ac:dyDescent="0.2">
      <c r="A521" s="270"/>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row>
    <row r="522" spans="1:26" ht="14.25" customHeight="1" x14ac:dyDescent="0.2">
      <c r="A522" s="270"/>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row>
    <row r="523" spans="1:26" ht="14.25" customHeight="1" x14ac:dyDescent="0.2">
      <c r="A523" s="270"/>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row>
    <row r="524" spans="1:26" ht="14.25" customHeight="1" x14ac:dyDescent="0.2">
      <c r="A524" s="270"/>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row>
    <row r="525" spans="1:26" ht="14.25" customHeight="1" x14ac:dyDescent="0.2">
      <c r="A525" s="270"/>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row>
    <row r="526" spans="1:26" ht="14.25" customHeight="1" x14ac:dyDescent="0.2">
      <c r="A526" s="270"/>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row>
    <row r="527" spans="1:26" ht="14.25" customHeight="1" x14ac:dyDescent="0.2">
      <c r="A527" s="270"/>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row>
    <row r="528" spans="1:26" ht="14.25" customHeight="1" x14ac:dyDescent="0.2">
      <c r="A528" s="270"/>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row>
    <row r="529" spans="1:26" ht="14.25" customHeight="1" x14ac:dyDescent="0.2">
      <c r="A529" s="270"/>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row>
    <row r="530" spans="1:26" ht="14.25" customHeight="1" x14ac:dyDescent="0.2">
      <c r="A530" s="270"/>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row>
    <row r="531" spans="1:26" ht="14.25" customHeight="1" x14ac:dyDescent="0.2">
      <c r="A531" s="270"/>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row>
    <row r="532" spans="1:26" ht="14.25" customHeight="1" x14ac:dyDescent="0.2">
      <c r="A532" s="270"/>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row>
    <row r="533" spans="1:26" ht="14.25" customHeight="1" x14ac:dyDescent="0.2">
      <c r="A533" s="270"/>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row>
    <row r="534" spans="1:26" ht="14.25" customHeight="1" x14ac:dyDescent="0.2">
      <c r="A534" s="270"/>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row>
    <row r="535" spans="1:26" ht="14.25" customHeight="1" x14ac:dyDescent="0.2">
      <c r="A535" s="270"/>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row>
    <row r="536" spans="1:26" ht="14.25" customHeight="1" x14ac:dyDescent="0.2">
      <c r="A536" s="270"/>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row>
    <row r="537" spans="1:26" ht="14.25" customHeight="1" x14ac:dyDescent="0.2">
      <c r="A537" s="270"/>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row>
    <row r="538" spans="1:26" ht="14.25" customHeight="1" x14ac:dyDescent="0.2">
      <c r="A538" s="270"/>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row>
    <row r="539" spans="1:26" ht="14.25" customHeight="1" x14ac:dyDescent="0.2">
      <c r="A539" s="270"/>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row>
    <row r="540" spans="1:26" ht="14.25" customHeight="1" x14ac:dyDescent="0.2">
      <c r="A540" s="270"/>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row>
    <row r="541" spans="1:26" ht="14.25" customHeight="1" x14ac:dyDescent="0.2">
      <c r="A541" s="270"/>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row>
    <row r="542" spans="1:26" ht="14.25" customHeight="1" x14ac:dyDescent="0.2">
      <c r="A542" s="270"/>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row>
    <row r="543" spans="1:26" ht="14.25" customHeight="1" x14ac:dyDescent="0.2">
      <c r="A543" s="270"/>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row>
    <row r="544" spans="1:26" ht="14.25" customHeight="1" x14ac:dyDescent="0.2">
      <c r="A544" s="270"/>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row>
    <row r="545" spans="1:26" ht="14.25" customHeight="1" x14ac:dyDescent="0.2">
      <c r="A545" s="270"/>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row>
    <row r="546" spans="1:26" ht="14.25" customHeight="1" x14ac:dyDescent="0.2">
      <c r="A546" s="270"/>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row>
    <row r="547" spans="1:26" ht="14.25" customHeight="1" x14ac:dyDescent="0.2">
      <c r="A547" s="270"/>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row>
    <row r="548" spans="1:26" ht="14.25" customHeight="1" x14ac:dyDescent="0.2">
      <c r="A548" s="270"/>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row>
    <row r="549" spans="1:26" ht="14.25" customHeight="1" x14ac:dyDescent="0.2">
      <c r="A549" s="270"/>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row>
    <row r="550" spans="1:26" ht="14.25" customHeight="1" x14ac:dyDescent="0.2">
      <c r="A550" s="270"/>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row>
    <row r="551" spans="1:26" ht="14.25" customHeight="1" x14ac:dyDescent="0.2">
      <c r="A551" s="270"/>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row>
    <row r="552" spans="1:26" ht="14.25" customHeight="1" x14ac:dyDescent="0.2">
      <c r="A552" s="270"/>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row>
    <row r="553" spans="1:26" ht="14.25" customHeight="1" x14ac:dyDescent="0.2">
      <c r="A553" s="270"/>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row>
    <row r="554" spans="1:26" ht="14.25" customHeight="1" x14ac:dyDescent="0.2">
      <c r="A554" s="270"/>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row>
    <row r="555" spans="1:26" ht="14.25" customHeight="1" x14ac:dyDescent="0.2">
      <c r="A555" s="270"/>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row>
    <row r="556" spans="1:26" ht="14.25" customHeight="1" x14ac:dyDescent="0.2">
      <c r="A556" s="270"/>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row>
    <row r="557" spans="1:26" ht="14.25" customHeight="1" x14ac:dyDescent="0.2">
      <c r="A557" s="270"/>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row>
    <row r="558" spans="1:26" ht="14.25" customHeight="1" x14ac:dyDescent="0.2">
      <c r="A558" s="270"/>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row>
    <row r="559" spans="1:26" ht="14.25" customHeight="1" x14ac:dyDescent="0.2">
      <c r="A559" s="270"/>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row>
    <row r="560" spans="1:26" ht="14.25" customHeight="1" x14ac:dyDescent="0.2">
      <c r="A560" s="270"/>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row>
    <row r="561" spans="1:26" ht="14.25" customHeight="1" x14ac:dyDescent="0.2">
      <c r="A561" s="270"/>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row>
    <row r="562" spans="1:26" ht="14.25" customHeight="1" x14ac:dyDescent="0.2">
      <c r="A562" s="270"/>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row>
    <row r="563" spans="1:26" ht="14.25" customHeight="1" x14ac:dyDescent="0.2">
      <c r="A563" s="270"/>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row>
    <row r="564" spans="1:26" ht="14.25" customHeight="1" x14ac:dyDescent="0.2">
      <c r="A564" s="270"/>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row>
    <row r="565" spans="1:26" ht="14.25" customHeight="1" x14ac:dyDescent="0.2">
      <c r="A565" s="270"/>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row>
    <row r="566" spans="1:26" ht="14.25" customHeight="1" x14ac:dyDescent="0.2">
      <c r="A566" s="270"/>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row>
    <row r="567" spans="1:26" ht="14.25" customHeight="1" x14ac:dyDescent="0.2">
      <c r="A567" s="270"/>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row>
    <row r="568" spans="1:26" ht="14.25" customHeight="1" x14ac:dyDescent="0.2">
      <c r="A568" s="270"/>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row>
    <row r="569" spans="1:26" ht="14.25" customHeight="1" x14ac:dyDescent="0.2">
      <c r="A569" s="270"/>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row>
    <row r="570" spans="1:26" ht="14.25" customHeight="1" x14ac:dyDescent="0.2">
      <c r="A570" s="270"/>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row>
    <row r="571" spans="1:26" ht="14.25" customHeight="1" x14ac:dyDescent="0.2">
      <c r="A571" s="270"/>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row>
    <row r="572" spans="1:26" ht="14.25" customHeight="1" x14ac:dyDescent="0.2">
      <c r="A572" s="270"/>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row>
    <row r="573" spans="1:26" ht="14.25" customHeight="1" x14ac:dyDescent="0.2">
      <c r="A573" s="270"/>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row>
    <row r="574" spans="1:26" ht="14.25" customHeight="1" x14ac:dyDescent="0.2">
      <c r="A574" s="270"/>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row>
    <row r="575" spans="1:26" ht="14.25" customHeight="1" x14ac:dyDescent="0.2">
      <c r="A575" s="270"/>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row>
    <row r="576" spans="1:26" ht="14.25" customHeight="1" x14ac:dyDescent="0.2">
      <c r="A576" s="270"/>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row>
    <row r="577" spans="1:26" ht="14.25" customHeight="1" x14ac:dyDescent="0.2">
      <c r="A577" s="270"/>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row>
    <row r="578" spans="1:26" ht="14.25" customHeight="1" x14ac:dyDescent="0.2">
      <c r="A578" s="270"/>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row>
    <row r="579" spans="1:26" ht="14.25" customHeight="1" x14ac:dyDescent="0.2">
      <c r="A579" s="270"/>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row>
    <row r="580" spans="1:26" ht="14.25" customHeight="1" x14ac:dyDescent="0.2">
      <c r="A580" s="270"/>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row>
    <row r="581" spans="1:26" ht="14.25" customHeight="1" x14ac:dyDescent="0.2">
      <c r="A581" s="270"/>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row>
    <row r="582" spans="1:26" ht="14.25" customHeight="1" x14ac:dyDescent="0.2">
      <c r="A582" s="270"/>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row>
    <row r="583" spans="1:26" ht="14.25" customHeight="1" x14ac:dyDescent="0.2">
      <c r="A583" s="270"/>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row>
    <row r="584" spans="1:26" ht="14.25" customHeight="1" x14ac:dyDescent="0.2">
      <c r="A584" s="270"/>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c r="X584" s="270"/>
      <c r="Y584" s="270"/>
      <c r="Z584" s="270"/>
    </row>
    <row r="585" spans="1:26" ht="14.25" customHeight="1" x14ac:dyDescent="0.2">
      <c r="A585" s="270"/>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row>
    <row r="586" spans="1:26" ht="14.25" customHeight="1" x14ac:dyDescent="0.2">
      <c r="A586" s="270"/>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row>
    <row r="587" spans="1:26" ht="14.25" customHeight="1" x14ac:dyDescent="0.2">
      <c r="A587" s="270"/>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row>
    <row r="588" spans="1:26" ht="14.25" customHeight="1" x14ac:dyDescent="0.2">
      <c r="A588" s="270"/>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row>
    <row r="589" spans="1:26" ht="14.25" customHeight="1" x14ac:dyDescent="0.2">
      <c r="A589" s="270"/>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row>
    <row r="590" spans="1:26" ht="14.25" customHeight="1" x14ac:dyDescent="0.2">
      <c r="A590" s="270"/>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row>
    <row r="591" spans="1:26" ht="14.25" customHeight="1" x14ac:dyDescent="0.2">
      <c r="A591" s="270"/>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row>
    <row r="592" spans="1:26" ht="14.25" customHeight="1" x14ac:dyDescent="0.2">
      <c r="A592" s="270"/>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row>
    <row r="593" spans="1:26" ht="14.25" customHeight="1" x14ac:dyDescent="0.2">
      <c r="A593" s="270"/>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row>
    <row r="594" spans="1:26" ht="14.25" customHeight="1" x14ac:dyDescent="0.2">
      <c r="A594" s="270"/>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row>
    <row r="595" spans="1:26" ht="14.25" customHeight="1" x14ac:dyDescent="0.2">
      <c r="A595" s="270"/>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row>
    <row r="596" spans="1:26" ht="14.25" customHeight="1" x14ac:dyDescent="0.2">
      <c r="A596" s="270"/>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row>
    <row r="597" spans="1:26" ht="14.25" customHeight="1" x14ac:dyDescent="0.2">
      <c r="A597" s="270"/>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row>
    <row r="598" spans="1:26" ht="14.25" customHeight="1" x14ac:dyDescent="0.2">
      <c r="A598" s="270"/>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row>
    <row r="599" spans="1:26" ht="14.25" customHeight="1" x14ac:dyDescent="0.2">
      <c r="A599" s="270"/>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row>
    <row r="600" spans="1:26" ht="14.25" customHeight="1" x14ac:dyDescent="0.2">
      <c r="A600" s="270"/>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row>
    <row r="601" spans="1:26" ht="14.25" customHeight="1" x14ac:dyDescent="0.2">
      <c r="A601" s="270"/>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row>
    <row r="602" spans="1:26" ht="14.25" customHeight="1" x14ac:dyDescent="0.2">
      <c r="A602" s="270"/>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row>
    <row r="603" spans="1:26" ht="14.25" customHeight="1" x14ac:dyDescent="0.2">
      <c r="A603" s="270"/>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row>
    <row r="604" spans="1:26" ht="14.25" customHeight="1" x14ac:dyDescent="0.2">
      <c r="A604" s="270"/>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row>
    <row r="605" spans="1:26" ht="14.25" customHeight="1" x14ac:dyDescent="0.2">
      <c r="A605" s="270"/>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row>
    <row r="606" spans="1:26" ht="14.25" customHeight="1" x14ac:dyDescent="0.2">
      <c r="A606" s="270"/>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row>
    <row r="607" spans="1:26" ht="14.25" customHeight="1" x14ac:dyDescent="0.2">
      <c r="A607" s="270"/>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row>
    <row r="608" spans="1:26" ht="14.25" customHeight="1" x14ac:dyDescent="0.2">
      <c r="A608" s="270"/>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row>
    <row r="609" spans="1:26" ht="14.25" customHeight="1" x14ac:dyDescent="0.2">
      <c r="A609" s="270"/>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row>
    <row r="610" spans="1:26" ht="14.25" customHeight="1" x14ac:dyDescent="0.2">
      <c r="A610" s="270"/>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row>
    <row r="611" spans="1:26" ht="14.25" customHeight="1" x14ac:dyDescent="0.2">
      <c r="A611" s="270"/>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row>
    <row r="612" spans="1:26" ht="14.25" customHeight="1" x14ac:dyDescent="0.2">
      <c r="A612" s="270"/>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row>
    <row r="613" spans="1:26" ht="14.25" customHeight="1" x14ac:dyDescent="0.2">
      <c r="A613" s="270"/>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row>
    <row r="614" spans="1:26" ht="14.25" customHeight="1" x14ac:dyDescent="0.2">
      <c r="A614" s="270"/>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row>
    <row r="615" spans="1:26" ht="14.25" customHeight="1" x14ac:dyDescent="0.2">
      <c r="A615" s="270"/>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row>
    <row r="616" spans="1:26" ht="14.25" customHeight="1" x14ac:dyDescent="0.2">
      <c r="A616" s="270"/>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row>
    <row r="617" spans="1:26" ht="14.25" customHeight="1" x14ac:dyDescent="0.2">
      <c r="A617" s="270"/>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row>
    <row r="618" spans="1:26" ht="14.25" customHeight="1" x14ac:dyDescent="0.2">
      <c r="A618" s="270"/>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row>
    <row r="619" spans="1:26" ht="14.25" customHeight="1" x14ac:dyDescent="0.2">
      <c r="A619" s="270"/>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row>
    <row r="620" spans="1:26" ht="14.25" customHeight="1" x14ac:dyDescent="0.2">
      <c r="A620" s="270"/>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row>
    <row r="621" spans="1:26" ht="14.25" customHeight="1" x14ac:dyDescent="0.2">
      <c r="A621" s="270"/>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row>
    <row r="622" spans="1:26" ht="14.25" customHeight="1" x14ac:dyDescent="0.2">
      <c r="A622" s="270"/>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row>
    <row r="623" spans="1:26" ht="14.25" customHeight="1" x14ac:dyDescent="0.2">
      <c r="A623" s="270"/>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row>
    <row r="624" spans="1:26" ht="14.25" customHeight="1" x14ac:dyDescent="0.2">
      <c r="A624" s="270"/>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row>
    <row r="625" spans="1:26" ht="14.25" customHeight="1" x14ac:dyDescent="0.2">
      <c r="A625" s="270"/>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row>
    <row r="626" spans="1:26" ht="14.25" customHeight="1" x14ac:dyDescent="0.2">
      <c r="A626" s="270"/>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row>
    <row r="627" spans="1:26" ht="14.25" customHeight="1" x14ac:dyDescent="0.2">
      <c r="A627" s="270"/>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row>
    <row r="628" spans="1:26" ht="14.25" customHeight="1" x14ac:dyDescent="0.2">
      <c r="A628" s="270"/>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row>
    <row r="629" spans="1:26" ht="14.25" customHeight="1" x14ac:dyDescent="0.2">
      <c r="A629" s="270"/>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row>
    <row r="630" spans="1:26" ht="14.25" customHeight="1" x14ac:dyDescent="0.2">
      <c r="A630" s="270"/>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row>
    <row r="631" spans="1:26" ht="14.25" customHeight="1" x14ac:dyDescent="0.2">
      <c r="A631" s="270"/>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row>
    <row r="632" spans="1:26" ht="14.25" customHeight="1" x14ac:dyDescent="0.2">
      <c r="A632" s="270"/>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row>
    <row r="633" spans="1:26" ht="14.25" customHeight="1" x14ac:dyDescent="0.2">
      <c r="A633" s="270"/>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row>
    <row r="634" spans="1:26" ht="14.25" customHeight="1" x14ac:dyDescent="0.2">
      <c r="A634" s="270"/>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row>
    <row r="635" spans="1:26" ht="14.25" customHeight="1" x14ac:dyDescent="0.2">
      <c r="A635" s="270"/>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row>
    <row r="636" spans="1:26" ht="14.25" customHeight="1" x14ac:dyDescent="0.2">
      <c r="A636" s="270"/>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row>
    <row r="637" spans="1:26" ht="14.25" customHeight="1" x14ac:dyDescent="0.2">
      <c r="A637" s="270"/>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row>
    <row r="638" spans="1:26" ht="14.25" customHeight="1" x14ac:dyDescent="0.2">
      <c r="A638" s="270"/>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row>
    <row r="639" spans="1:26" ht="14.25" customHeight="1" x14ac:dyDescent="0.2">
      <c r="A639" s="270"/>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row>
    <row r="640" spans="1:26" ht="14.25" customHeight="1" x14ac:dyDescent="0.2">
      <c r="A640" s="270"/>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row>
    <row r="641" spans="1:26" ht="14.25" customHeight="1" x14ac:dyDescent="0.2">
      <c r="A641" s="270"/>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row>
    <row r="642" spans="1:26" ht="14.25" customHeight="1" x14ac:dyDescent="0.2">
      <c r="A642" s="270"/>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row>
    <row r="643" spans="1:26" ht="14.25" customHeight="1" x14ac:dyDescent="0.2">
      <c r="A643" s="270"/>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row>
    <row r="644" spans="1:26" ht="14.25" customHeight="1" x14ac:dyDescent="0.2">
      <c r="A644" s="270"/>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row>
    <row r="645" spans="1:26" ht="14.25" customHeight="1" x14ac:dyDescent="0.2">
      <c r="A645" s="270"/>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row>
    <row r="646" spans="1:26" ht="14.25" customHeight="1" x14ac:dyDescent="0.2">
      <c r="A646" s="270"/>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row>
    <row r="647" spans="1:26" ht="14.25" customHeight="1" x14ac:dyDescent="0.2">
      <c r="A647" s="270"/>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c r="X647" s="270"/>
      <c r="Y647" s="270"/>
      <c r="Z647" s="270"/>
    </row>
    <row r="648" spans="1:26" ht="14.25" customHeight="1" x14ac:dyDescent="0.2">
      <c r="A648" s="270"/>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c r="X648" s="270"/>
      <c r="Y648" s="270"/>
      <c r="Z648" s="270"/>
    </row>
    <row r="649" spans="1:26" ht="14.25" customHeight="1" x14ac:dyDescent="0.2">
      <c r="A649" s="270"/>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row>
    <row r="650" spans="1:26" ht="14.25" customHeight="1" x14ac:dyDescent="0.2">
      <c r="A650" s="270"/>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row>
    <row r="651" spans="1:26" ht="14.25" customHeight="1" x14ac:dyDescent="0.2">
      <c r="A651" s="270"/>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row>
    <row r="652" spans="1:26" ht="14.25" customHeight="1" x14ac:dyDescent="0.2">
      <c r="A652" s="270"/>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row>
    <row r="653" spans="1:26" ht="14.25" customHeight="1" x14ac:dyDescent="0.2">
      <c r="A653" s="270"/>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row>
    <row r="654" spans="1:26" ht="14.25" customHeight="1" x14ac:dyDescent="0.2">
      <c r="A654" s="270"/>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row>
    <row r="655" spans="1:26" ht="14.25" customHeight="1" x14ac:dyDescent="0.2">
      <c r="A655" s="270"/>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row>
    <row r="656" spans="1:26" ht="14.25" customHeight="1" x14ac:dyDescent="0.2">
      <c r="A656" s="270"/>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row>
    <row r="657" spans="1:26" ht="14.25" customHeight="1" x14ac:dyDescent="0.2">
      <c r="A657" s="270"/>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row>
    <row r="658" spans="1:26" ht="14.25" customHeight="1" x14ac:dyDescent="0.2">
      <c r="A658" s="270"/>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row>
    <row r="659" spans="1:26" ht="14.25" customHeight="1" x14ac:dyDescent="0.2">
      <c r="A659" s="270"/>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c r="X659" s="270"/>
      <c r="Y659" s="270"/>
      <c r="Z659" s="270"/>
    </row>
    <row r="660" spans="1:26" ht="14.25" customHeight="1" x14ac:dyDescent="0.2">
      <c r="A660" s="270"/>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c r="X660" s="270"/>
      <c r="Y660" s="270"/>
      <c r="Z660" s="270"/>
    </row>
    <row r="661" spans="1:26" ht="14.25" customHeight="1" x14ac:dyDescent="0.2">
      <c r="A661" s="270"/>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row>
    <row r="662" spans="1:26" ht="14.25" customHeight="1" x14ac:dyDescent="0.2">
      <c r="A662" s="270"/>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row>
    <row r="663" spans="1:26" ht="14.25" customHeight="1" x14ac:dyDescent="0.2">
      <c r="A663" s="270"/>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row>
    <row r="664" spans="1:26" ht="14.25" customHeight="1" x14ac:dyDescent="0.2">
      <c r="A664" s="270"/>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row>
    <row r="665" spans="1:26" ht="14.25" customHeight="1" x14ac:dyDescent="0.2">
      <c r="A665" s="270"/>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row>
    <row r="666" spans="1:26" ht="14.25" customHeight="1" x14ac:dyDescent="0.2">
      <c r="A666" s="270"/>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row>
    <row r="667" spans="1:26" ht="14.25" customHeight="1" x14ac:dyDescent="0.2">
      <c r="A667" s="270"/>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row>
    <row r="668" spans="1:26" ht="14.25" customHeight="1" x14ac:dyDescent="0.2">
      <c r="A668" s="270"/>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row>
    <row r="669" spans="1:26" ht="14.25" customHeight="1" x14ac:dyDescent="0.2">
      <c r="A669" s="270"/>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row>
    <row r="670" spans="1:26" ht="14.25" customHeight="1" x14ac:dyDescent="0.2">
      <c r="A670" s="270"/>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row>
    <row r="671" spans="1:26" ht="14.25" customHeight="1" x14ac:dyDescent="0.2">
      <c r="A671" s="270"/>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row>
    <row r="672" spans="1:26" ht="14.25" customHeight="1" x14ac:dyDescent="0.2">
      <c r="A672" s="270"/>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row>
    <row r="673" spans="1:26" ht="14.25" customHeight="1" x14ac:dyDescent="0.2">
      <c r="A673" s="270"/>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row>
    <row r="674" spans="1:26" ht="14.25" customHeight="1" x14ac:dyDescent="0.2">
      <c r="A674" s="270"/>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row>
    <row r="675" spans="1:26" ht="14.25" customHeight="1" x14ac:dyDescent="0.2">
      <c r="A675" s="270"/>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row>
    <row r="676" spans="1:26" ht="14.25" customHeight="1" x14ac:dyDescent="0.2">
      <c r="A676" s="270"/>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row>
    <row r="677" spans="1:26" ht="14.25" customHeight="1" x14ac:dyDescent="0.2">
      <c r="A677" s="270"/>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row>
    <row r="678" spans="1:26" ht="14.25" customHeight="1" x14ac:dyDescent="0.2">
      <c r="A678" s="270"/>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row>
    <row r="679" spans="1:26" ht="14.25" customHeight="1" x14ac:dyDescent="0.2">
      <c r="A679" s="270"/>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row>
    <row r="680" spans="1:26" ht="14.25" customHeight="1" x14ac:dyDescent="0.2">
      <c r="A680" s="270"/>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row>
    <row r="681" spans="1:26" ht="14.25" customHeight="1" x14ac:dyDescent="0.2">
      <c r="A681" s="270"/>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row>
    <row r="682" spans="1:26" ht="14.25" customHeight="1" x14ac:dyDescent="0.2">
      <c r="A682" s="270"/>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row>
    <row r="683" spans="1:26" ht="14.25" customHeight="1" x14ac:dyDescent="0.2">
      <c r="A683" s="270"/>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row>
    <row r="684" spans="1:26" ht="14.25" customHeight="1" x14ac:dyDescent="0.2">
      <c r="A684" s="270"/>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row>
    <row r="685" spans="1:26" ht="14.25" customHeight="1" x14ac:dyDescent="0.2">
      <c r="A685" s="270"/>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row>
    <row r="686" spans="1:26" ht="14.25" customHeight="1" x14ac:dyDescent="0.2">
      <c r="A686" s="270"/>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row>
    <row r="687" spans="1:26" ht="14.25" customHeight="1" x14ac:dyDescent="0.2">
      <c r="A687" s="270"/>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row>
    <row r="688" spans="1:26" ht="14.25" customHeight="1" x14ac:dyDescent="0.2">
      <c r="A688" s="270"/>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row>
    <row r="689" spans="1:26" ht="14.25" customHeight="1" x14ac:dyDescent="0.2">
      <c r="A689" s="270"/>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row>
    <row r="690" spans="1:26" ht="14.25" customHeight="1" x14ac:dyDescent="0.2">
      <c r="A690" s="270"/>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row>
    <row r="691" spans="1:26" ht="14.25" customHeight="1" x14ac:dyDescent="0.2">
      <c r="A691" s="270"/>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row>
    <row r="692" spans="1:26" ht="14.25" customHeight="1" x14ac:dyDescent="0.2">
      <c r="A692" s="270"/>
      <c r="B692" s="270"/>
      <c r="C692" s="270"/>
      <c r="D692" s="270"/>
      <c r="E692" s="270"/>
      <c r="F692" s="270"/>
      <c r="G692" s="270"/>
      <c r="H692" s="270"/>
      <c r="I692" s="270"/>
      <c r="J692" s="270"/>
      <c r="K692" s="270"/>
      <c r="L692" s="270"/>
      <c r="M692" s="270"/>
      <c r="N692" s="270"/>
      <c r="O692" s="270"/>
      <c r="P692" s="270"/>
      <c r="Q692" s="270"/>
      <c r="R692" s="270"/>
      <c r="S692" s="270"/>
      <c r="T692" s="270"/>
      <c r="U692" s="270"/>
      <c r="V692" s="270"/>
      <c r="W692" s="270"/>
      <c r="X692" s="270"/>
      <c r="Y692" s="270"/>
      <c r="Z692" s="270"/>
    </row>
    <row r="693" spans="1:26" ht="14.25" customHeight="1" x14ac:dyDescent="0.2">
      <c r="A693" s="270"/>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row>
    <row r="694" spans="1:26" ht="14.25" customHeight="1" x14ac:dyDescent="0.2">
      <c r="A694" s="270"/>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row>
    <row r="695" spans="1:26" ht="14.25" customHeight="1" x14ac:dyDescent="0.2">
      <c r="A695" s="270"/>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row>
    <row r="696" spans="1:26" ht="14.25" customHeight="1" x14ac:dyDescent="0.2">
      <c r="A696" s="270"/>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row>
    <row r="697" spans="1:26" ht="14.25" customHeight="1" x14ac:dyDescent="0.2">
      <c r="A697" s="270"/>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row>
    <row r="698" spans="1:26" ht="14.25" customHeight="1" x14ac:dyDescent="0.2">
      <c r="A698" s="270"/>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row>
    <row r="699" spans="1:26" ht="14.25" customHeight="1" x14ac:dyDescent="0.2">
      <c r="A699" s="270"/>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row>
    <row r="700" spans="1:26" ht="14.25" customHeight="1" x14ac:dyDescent="0.2">
      <c r="A700" s="270"/>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row>
    <row r="701" spans="1:26" ht="14.25" customHeight="1" x14ac:dyDescent="0.2">
      <c r="A701" s="270"/>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row>
    <row r="702" spans="1:26" ht="14.25" customHeight="1" x14ac:dyDescent="0.2">
      <c r="A702" s="270"/>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c r="X702" s="270"/>
      <c r="Y702" s="270"/>
      <c r="Z702" s="270"/>
    </row>
    <row r="703" spans="1:26" ht="14.25" customHeight="1" x14ac:dyDescent="0.2">
      <c r="A703" s="270"/>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row>
    <row r="704" spans="1:26" ht="14.25" customHeight="1" x14ac:dyDescent="0.2">
      <c r="A704" s="270"/>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c r="X704" s="270"/>
      <c r="Y704" s="270"/>
      <c r="Z704" s="270"/>
    </row>
    <row r="705" spans="1:26" ht="14.25" customHeight="1" x14ac:dyDescent="0.2">
      <c r="A705" s="270"/>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c r="X705" s="270"/>
      <c r="Y705" s="270"/>
      <c r="Z705" s="270"/>
    </row>
    <row r="706" spans="1:26" ht="14.25" customHeight="1" x14ac:dyDescent="0.2">
      <c r="A706" s="270"/>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row>
    <row r="707" spans="1:26" ht="14.25" customHeight="1" x14ac:dyDescent="0.2">
      <c r="A707" s="270"/>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row>
    <row r="708" spans="1:26" ht="14.25" customHeight="1" x14ac:dyDescent="0.2">
      <c r="A708" s="270"/>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row>
    <row r="709" spans="1:26" ht="14.25" customHeight="1" x14ac:dyDescent="0.2">
      <c r="A709" s="270"/>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row>
    <row r="710" spans="1:26" ht="14.25" customHeight="1" x14ac:dyDescent="0.2">
      <c r="A710" s="270"/>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row>
    <row r="711" spans="1:26" ht="14.25" customHeight="1" x14ac:dyDescent="0.2">
      <c r="A711" s="270"/>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row>
    <row r="712" spans="1:26" ht="14.25" customHeight="1" x14ac:dyDescent="0.2">
      <c r="A712" s="270"/>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row>
    <row r="713" spans="1:26" ht="14.25" customHeight="1" x14ac:dyDescent="0.2">
      <c r="A713" s="270"/>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row>
    <row r="714" spans="1:26" ht="14.25" customHeight="1" x14ac:dyDescent="0.2">
      <c r="A714" s="270"/>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row>
    <row r="715" spans="1:26" ht="14.25" customHeight="1" x14ac:dyDescent="0.2">
      <c r="A715" s="270"/>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row>
    <row r="716" spans="1:26" ht="14.25" customHeight="1" x14ac:dyDescent="0.2">
      <c r="A716" s="270"/>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row>
    <row r="717" spans="1:26" ht="14.25" customHeight="1" x14ac:dyDescent="0.2">
      <c r="A717" s="270"/>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row>
    <row r="718" spans="1:26" ht="14.25" customHeight="1" x14ac:dyDescent="0.2">
      <c r="A718" s="270"/>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row>
    <row r="719" spans="1:26" ht="14.25" customHeight="1" x14ac:dyDescent="0.2">
      <c r="A719" s="270"/>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row>
    <row r="720" spans="1:26" ht="14.25" customHeight="1" x14ac:dyDescent="0.2">
      <c r="A720" s="270"/>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row>
    <row r="721" spans="1:26" ht="14.25" customHeight="1" x14ac:dyDescent="0.2">
      <c r="A721" s="270"/>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row>
    <row r="722" spans="1:26" ht="14.25" customHeight="1" x14ac:dyDescent="0.2">
      <c r="A722" s="270"/>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row>
    <row r="723" spans="1:26" ht="14.25" customHeight="1" x14ac:dyDescent="0.2">
      <c r="A723" s="270"/>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row>
    <row r="724" spans="1:26" ht="14.25" customHeight="1" x14ac:dyDescent="0.2">
      <c r="A724" s="270"/>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row>
    <row r="725" spans="1:26" ht="14.25" customHeight="1" x14ac:dyDescent="0.2">
      <c r="A725" s="270"/>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row>
    <row r="726" spans="1:26" ht="14.25" customHeight="1" x14ac:dyDescent="0.2">
      <c r="A726" s="270"/>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row>
    <row r="727" spans="1:26" ht="14.25" customHeight="1" x14ac:dyDescent="0.2">
      <c r="A727" s="270"/>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row>
    <row r="728" spans="1:26" ht="14.25" customHeight="1" x14ac:dyDescent="0.2">
      <c r="A728" s="270"/>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row>
    <row r="729" spans="1:26" ht="14.25" customHeight="1" x14ac:dyDescent="0.2">
      <c r="A729" s="270"/>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row>
    <row r="730" spans="1:26" ht="14.25" customHeight="1" x14ac:dyDescent="0.2">
      <c r="A730" s="270"/>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c r="X730" s="270"/>
      <c r="Y730" s="270"/>
      <c r="Z730" s="270"/>
    </row>
    <row r="731" spans="1:26" ht="14.25" customHeight="1" x14ac:dyDescent="0.2">
      <c r="A731" s="270"/>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row>
    <row r="732" spans="1:26" ht="14.25" customHeight="1" x14ac:dyDescent="0.2">
      <c r="A732" s="270"/>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row>
    <row r="733" spans="1:26" ht="14.25" customHeight="1" x14ac:dyDescent="0.2">
      <c r="A733" s="270"/>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row>
    <row r="734" spans="1:26" ht="14.25" customHeight="1" x14ac:dyDescent="0.2">
      <c r="A734" s="270"/>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row>
    <row r="735" spans="1:26" ht="14.25" customHeight="1" x14ac:dyDescent="0.2">
      <c r="A735" s="270"/>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c r="X735" s="270"/>
      <c r="Y735" s="270"/>
      <c r="Z735" s="270"/>
    </row>
    <row r="736" spans="1:26" ht="14.25" customHeight="1" x14ac:dyDescent="0.2">
      <c r="A736" s="270"/>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row>
    <row r="737" spans="1:26" ht="14.25" customHeight="1" x14ac:dyDescent="0.2">
      <c r="A737" s="270"/>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row>
    <row r="738" spans="1:26" ht="14.25" customHeight="1" x14ac:dyDescent="0.2">
      <c r="A738" s="270"/>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row>
    <row r="739" spans="1:26" ht="14.25" customHeight="1" x14ac:dyDescent="0.2">
      <c r="A739" s="270"/>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row>
    <row r="740" spans="1:26" ht="14.25" customHeight="1" x14ac:dyDescent="0.2">
      <c r="A740" s="270"/>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row>
    <row r="741" spans="1:26" ht="14.25" customHeight="1" x14ac:dyDescent="0.2">
      <c r="A741" s="270"/>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row>
    <row r="742" spans="1:26" ht="14.25" customHeight="1" x14ac:dyDescent="0.2">
      <c r="A742" s="270"/>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row>
    <row r="743" spans="1:26" ht="14.25" customHeight="1" x14ac:dyDescent="0.2">
      <c r="A743" s="270"/>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row>
    <row r="744" spans="1:26" ht="14.25" customHeight="1" x14ac:dyDescent="0.2">
      <c r="A744" s="270"/>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row>
    <row r="745" spans="1:26" ht="14.25" customHeight="1" x14ac:dyDescent="0.2">
      <c r="A745" s="270"/>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row>
    <row r="746" spans="1:26" ht="14.25" customHeight="1" x14ac:dyDescent="0.2">
      <c r="A746" s="270"/>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row>
    <row r="747" spans="1:26" ht="14.25" customHeight="1" x14ac:dyDescent="0.2">
      <c r="A747" s="270"/>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row>
    <row r="748" spans="1:26" ht="14.25" customHeight="1" x14ac:dyDescent="0.2">
      <c r="A748" s="270"/>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row>
    <row r="749" spans="1:26" ht="14.25" customHeight="1" x14ac:dyDescent="0.2">
      <c r="A749" s="270"/>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row>
    <row r="750" spans="1:26" ht="14.25" customHeight="1" x14ac:dyDescent="0.2">
      <c r="A750" s="270"/>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c r="X750" s="270"/>
      <c r="Y750" s="270"/>
      <c r="Z750" s="270"/>
    </row>
    <row r="751" spans="1:26" ht="14.25" customHeight="1" x14ac:dyDescent="0.2">
      <c r="A751" s="270"/>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c r="X751" s="270"/>
      <c r="Y751" s="270"/>
      <c r="Z751" s="270"/>
    </row>
    <row r="752" spans="1:26" ht="14.25" customHeight="1" x14ac:dyDescent="0.2">
      <c r="A752" s="270"/>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row>
    <row r="753" spans="1:26" ht="14.25" customHeight="1" x14ac:dyDescent="0.2">
      <c r="A753" s="270"/>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row>
    <row r="754" spans="1:26" ht="14.25" customHeight="1" x14ac:dyDescent="0.2">
      <c r="A754" s="270"/>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row>
    <row r="755" spans="1:26" ht="14.25" customHeight="1" x14ac:dyDescent="0.2">
      <c r="A755" s="270"/>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row>
    <row r="756" spans="1:26" ht="14.25" customHeight="1" x14ac:dyDescent="0.2">
      <c r="A756" s="270"/>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row>
    <row r="757" spans="1:26" ht="14.25" customHeight="1" x14ac:dyDescent="0.2">
      <c r="A757" s="270"/>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row>
    <row r="758" spans="1:26" ht="14.25" customHeight="1" x14ac:dyDescent="0.2">
      <c r="A758" s="270"/>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row>
    <row r="759" spans="1:26" ht="14.25" customHeight="1" x14ac:dyDescent="0.2">
      <c r="A759" s="270"/>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row>
    <row r="760" spans="1:26" ht="14.25" customHeight="1" x14ac:dyDescent="0.2">
      <c r="A760" s="270"/>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row>
    <row r="761" spans="1:26" ht="14.25" customHeight="1" x14ac:dyDescent="0.2">
      <c r="A761" s="270"/>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row>
    <row r="762" spans="1:26" ht="14.25" customHeight="1" x14ac:dyDescent="0.2">
      <c r="A762" s="270"/>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row>
    <row r="763" spans="1:26" ht="14.25" customHeight="1" x14ac:dyDescent="0.2">
      <c r="A763" s="270"/>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row>
    <row r="764" spans="1:26" ht="14.25" customHeight="1" x14ac:dyDescent="0.2">
      <c r="A764" s="270"/>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row>
    <row r="765" spans="1:26" ht="14.25" customHeight="1" x14ac:dyDescent="0.2">
      <c r="A765" s="270"/>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row>
    <row r="766" spans="1:26" ht="14.25" customHeight="1" x14ac:dyDescent="0.2">
      <c r="A766" s="270"/>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row>
    <row r="767" spans="1:26" ht="14.25" customHeight="1" x14ac:dyDescent="0.2">
      <c r="A767" s="270"/>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row>
    <row r="768" spans="1:26" ht="14.25" customHeight="1" x14ac:dyDescent="0.2">
      <c r="A768" s="270"/>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row>
    <row r="769" spans="1:26" ht="14.25" customHeight="1" x14ac:dyDescent="0.2">
      <c r="A769" s="270"/>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row>
    <row r="770" spans="1:26" ht="14.25" customHeight="1" x14ac:dyDescent="0.2">
      <c r="A770" s="270"/>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row>
    <row r="771" spans="1:26" ht="14.25" customHeight="1" x14ac:dyDescent="0.2">
      <c r="A771" s="270"/>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row>
    <row r="772" spans="1:26" ht="14.25" customHeight="1" x14ac:dyDescent="0.2">
      <c r="A772" s="270"/>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row>
    <row r="773" spans="1:26" ht="14.25" customHeight="1" x14ac:dyDescent="0.2">
      <c r="A773" s="270"/>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row>
    <row r="774" spans="1:26" ht="14.25" customHeight="1" x14ac:dyDescent="0.2">
      <c r="A774" s="270"/>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row>
    <row r="775" spans="1:26" ht="14.25" customHeight="1" x14ac:dyDescent="0.2">
      <c r="A775" s="270"/>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row>
    <row r="776" spans="1:26" ht="14.25" customHeight="1" x14ac:dyDescent="0.2">
      <c r="A776" s="270"/>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row>
    <row r="777" spans="1:26" ht="14.25" customHeight="1" x14ac:dyDescent="0.2">
      <c r="A777" s="270"/>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row>
    <row r="778" spans="1:26" ht="14.25" customHeight="1" x14ac:dyDescent="0.2">
      <c r="A778" s="270"/>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row>
    <row r="779" spans="1:26" ht="14.25" customHeight="1" x14ac:dyDescent="0.2">
      <c r="A779" s="270"/>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row>
    <row r="780" spans="1:26" ht="14.25" customHeight="1" x14ac:dyDescent="0.2">
      <c r="A780" s="270"/>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row>
    <row r="781" spans="1:26" ht="14.25" customHeight="1" x14ac:dyDescent="0.2">
      <c r="A781" s="270"/>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row>
    <row r="782" spans="1:26" ht="14.25" customHeight="1" x14ac:dyDescent="0.2">
      <c r="A782" s="270"/>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row>
    <row r="783" spans="1:26" ht="14.25" customHeight="1" x14ac:dyDescent="0.2">
      <c r="A783" s="270"/>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row>
    <row r="784" spans="1:26" ht="14.25" customHeight="1" x14ac:dyDescent="0.2">
      <c r="A784" s="270"/>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row>
    <row r="785" spans="1:26" ht="14.25" customHeight="1" x14ac:dyDescent="0.2">
      <c r="A785" s="270"/>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row>
    <row r="786" spans="1:26" ht="14.25" customHeight="1" x14ac:dyDescent="0.2">
      <c r="A786" s="270"/>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row>
    <row r="787" spans="1:26" ht="14.25" customHeight="1" x14ac:dyDescent="0.2">
      <c r="A787" s="270"/>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row>
    <row r="788" spans="1:26" ht="14.25" customHeight="1" x14ac:dyDescent="0.2">
      <c r="A788" s="270"/>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row>
    <row r="789" spans="1:26" ht="14.25" customHeight="1" x14ac:dyDescent="0.2">
      <c r="A789" s="270"/>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row>
    <row r="790" spans="1:26" ht="14.25" customHeight="1" x14ac:dyDescent="0.2">
      <c r="A790" s="270"/>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row>
    <row r="791" spans="1:26" ht="14.25" customHeight="1" x14ac:dyDescent="0.2">
      <c r="A791" s="270"/>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row>
    <row r="792" spans="1:26" ht="14.25" customHeight="1" x14ac:dyDescent="0.2">
      <c r="A792" s="270"/>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row>
    <row r="793" spans="1:26" ht="14.25" customHeight="1" x14ac:dyDescent="0.2">
      <c r="A793" s="270"/>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row>
    <row r="794" spans="1:26" ht="14.25" customHeight="1" x14ac:dyDescent="0.2">
      <c r="A794" s="270"/>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row>
    <row r="795" spans="1:26" ht="14.25" customHeight="1" x14ac:dyDescent="0.2">
      <c r="A795" s="270"/>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row>
    <row r="796" spans="1:26" ht="14.25" customHeight="1" x14ac:dyDescent="0.2">
      <c r="A796" s="270"/>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row>
    <row r="797" spans="1:26" ht="14.25" customHeight="1" x14ac:dyDescent="0.2">
      <c r="A797" s="270"/>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row>
    <row r="798" spans="1:26" ht="14.25" customHeight="1" x14ac:dyDescent="0.2">
      <c r="A798" s="270"/>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row>
    <row r="799" spans="1:26" ht="14.25" customHeight="1" x14ac:dyDescent="0.2">
      <c r="A799" s="270"/>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row>
    <row r="800" spans="1:26" ht="14.25" customHeight="1" x14ac:dyDescent="0.2">
      <c r="A800" s="270"/>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row>
    <row r="801" spans="1:26" ht="14.25" customHeight="1" x14ac:dyDescent="0.2">
      <c r="A801" s="270"/>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row>
    <row r="802" spans="1:26" ht="14.25" customHeight="1" x14ac:dyDescent="0.2">
      <c r="A802" s="270"/>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row>
    <row r="803" spans="1:26" ht="14.25" customHeight="1" x14ac:dyDescent="0.2">
      <c r="A803" s="270"/>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row>
    <row r="804" spans="1:26" ht="14.25" customHeight="1" x14ac:dyDescent="0.2">
      <c r="A804" s="270"/>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row>
    <row r="805" spans="1:26" ht="14.25" customHeight="1" x14ac:dyDescent="0.2">
      <c r="A805" s="270"/>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row>
    <row r="806" spans="1:26" ht="14.25" customHeight="1" x14ac:dyDescent="0.2">
      <c r="A806" s="270"/>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row>
    <row r="807" spans="1:26" ht="14.25" customHeight="1" x14ac:dyDescent="0.2">
      <c r="A807" s="270"/>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row>
    <row r="808" spans="1:26" ht="14.25" customHeight="1" x14ac:dyDescent="0.2">
      <c r="A808" s="270"/>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row>
    <row r="809" spans="1:26" ht="14.25" customHeight="1" x14ac:dyDescent="0.2">
      <c r="A809" s="270"/>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row>
    <row r="810" spans="1:26" ht="14.25" customHeight="1" x14ac:dyDescent="0.2">
      <c r="A810" s="270"/>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row>
    <row r="811" spans="1:26" ht="14.25" customHeight="1" x14ac:dyDescent="0.2">
      <c r="A811" s="270"/>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row>
    <row r="812" spans="1:26" ht="14.25" customHeight="1" x14ac:dyDescent="0.2">
      <c r="A812" s="270"/>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row>
    <row r="813" spans="1:26" ht="14.25" customHeight="1" x14ac:dyDescent="0.2">
      <c r="A813" s="270"/>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row>
    <row r="814" spans="1:26" ht="14.25" customHeight="1" x14ac:dyDescent="0.2">
      <c r="A814" s="270"/>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row>
    <row r="815" spans="1:26" ht="14.25" customHeight="1" x14ac:dyDescent="0.2">
      <c r="A815" s="270"/>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row>
    <row r="816" spans="1:26" ht="14.25" customHeight="1" x14ac:dyDescent="0.2">
      <c r="A816" s="270"/>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row>
    <row r="817" spans="1:26" ht="14.25" customHeight="1" x14ac:dyDescent="0.2">
      <c r="A817" s="270"/>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row>
    <row r="818" spans="1:26" ht="14.25" customHeight="1" x14ac:dyDescent="0.2">
      <c r="A818" s="270"/>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row>
    <row r="819" spans="1:26" ht="14.25" customHeight="1" x14ac:dyDescent="0.2">
      <c r="A819" s="270"/>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row>
    <row r="820" spans="1:26" ht="14.25" customHeight="1" x14ac:dyDescent="0.2">
      <c r="A820" s="270"/>
      <c r="B820" s="270"/>
      <c r="C820" s="270"/>
      <c r="D820" s="270"/>
      <c r="E820" s="270"/>
      <c r="F820" s="270"/>
      <c r="G820" s="270"/>
      <c r="H820" s="270"/>
      <c r="I820" s="270"/>
      <c r="J820" s="270"/>
      <c r="K820" s="270"/>
      <c r="L820" s="270"/>
      <c r="M820" s="270"/>
      <c r="N820" s="270"/>
      <c r="O820" s="270"/>
      <c r="P820" s="270"/>
      <c r="Q820" s="270"/>
      <c r="R820" s="270"/>
      <c r="S820" s="270"/>
      <c r="T820" s="270"/>
      <c r="U820" s="270"/>
      <c r="V820" s="270"/>
      <c r="W820" s="270"/>
      <c r="X820" s="270"/>
      <c r="Y820" s="270"/>
      <c r="Z820" s="270"/>
    </row>
    <row r="821" spans="1:26" ht="14.25" customHeight="1" x14ac:dyDescent="0.2">
      <c r="A821" s="270"/>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row>
    <row r="822" spans="1:26" ht="14.25" customHeight="1" x14ac:dyDescent="0.2">
      <c r="A822" s="270"/>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row>
    <row r="823" spans="1:26" ht="14.25" customHeight="1" x14ac:dyDescent="0.2">
      <c r="A823" s="270"/>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row>
    <row r="824" spans="1:26" ht="14.25" customHeight="1" x14ac:dyDescent="0.2">
      <c r="A824" s="270"/>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row>
    <row r="825" spans="1:26" ht="14.25" customHeight="1" x14ac:dyDescent="0.2">
      <c r="A825" s="270"/>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row>
    <row r="826" spans="1:26" ht="14.25" customHeight="1" x14ac:dyDescent="0.2">
      <c r="A826" s="270"/>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row>
    <row r="827" spans="1:26" ht="14.25" customHeight="1" x14ac:dyDescent="0.2">
      <c r="A827" s="270"/>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row>
    <row r="828" spans="1:26" ht="14.25" customHeight="1" x14ac:dyDescent="0.2">
      <c r="A828" s="270"/>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row>
    <row r="829" spans="1:26" ht="14.25" customHeight="1" x14ac:dyDescent="0.2">
      <c r="A829" s="270"/>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row>
    <row r="830" spans="1:26" ht="14.25" customHeight="1" x14ac:dyDescent="0.2">
      <c r="A830" s="270"/>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row>
    <row r="831" spans="1:26" ht="14.25" customHeight="1" x14ac:dyDescent="0.2">
      <c r="A831" s="270"/>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row>
    <row r="832" spans="1:26" ht="14.25" customHeight="1" x14ac:dyDescent="0.2">
      <c r="A832" s="270"/>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row>
    <row r="833" spans="1:26" ht="14.25" customHeight="1" x14ac:dyDescent="0.2">
      <c r="A833" s="270"/>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row>
    <row r="834" spans="1:26" ht="14.25" customHeight="1" x14ac:dyDescent="0.2">
      <c r="A834" s="270"/>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row>
    <row r="835" spans="1:26" ht="14.25" customHeight="1" x14ac:dyDescent="0.2">
      <c r="A835" s="270"/>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row>
    <row r="836" spans="1:26" ht="14.25" customHeight="1" x14ac:dyDescent="0.2">
      <c r="A836" s="270"/>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row>
    <row r="837" spans="1:26" ht="14.25" customHeight="1" x14ac:dyDescent="0.2">
      <c r="A837" s="270"/>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row>
    <row r="838" spans="1:26" ht="14.25" customHeight="1" x14ac:dyDescent="0.2">
      <c r="A838" s="270"/>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row>
    <row r="839" spans="1:26" ht="14.25" customHeight="1" x14ac:dyDescent="0.2">
      <c r="A839" s="270"/>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c r="X839" s="270"/>
      <c r="Y839" s="270"/>
      <c r="Z839" s="270"/>
    </row>
    <row r="840" spans="1:26" ht="14.25" customHeight="1" x14ac:dyDescent="0.2">
      <c r="A840" s="270"/>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row>
    <row r="841" spans="1:26" ht="14.25" customHeight="1" x14ac:dyDescent="0.2">
      <c r="A841" s="270"/>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row>
    <row r="842" spans="1:26" ht="14.25" customHeight="1" x14ac:dyDescent="0.2">
      <c r="A842" s="270"/>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row>
    <row r="843" spans="1:26" ht="14.25" customHeight="1" x14ac:dyDescent="0.2">
      <c r="A843" s="270"/>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row>
    <row r="844" spans="1:26" ht="14.25" customHeight="1" x14ac:dyDescent="0.2">
      <c r="A844" s="270"/>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row>
    <row r="845" spans="1:26" ht="14.25" customHeight="1" x14ac:dyDescent="0.2">
      <c r="A845" s="270"/>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row>
    <row r="846" spans="1:26" ht="14.25" customHeight="1" x14ac:dyDescent="0.2">
      <c r="A846" s="270"/>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row>
    <row r="847" spans="1:26" ht="14.25" customHeight="1" x14ac:dyDescent="0.2">
      <c r="A847" s="270"/>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row>
    <row r="848" spans="1:26" ht="14.25" customHeight="1" x14ac:dyDescent="0.2">
      <c r="A848" s="270"/>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row>
    <row r="849" spans="1:26" ht="14.25" customHeight="1" x14ac:dyDescent="0.2">
      <c r="A849" s="270"/>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row>
    <row r="850" spans="1:26" ht="14.25" customHeight="1" x14ac:dyDescent="0.2">
      <c r="A850" s="270"/>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row>
    <row r="851" spans="1:26" ht="14.25" customHeight="1" x14ac:dyDescent="0.2">
      <c r="A851" s="270"/>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row>
    <row r="852" spans="1:26" ht="14.25" customHeight="1" x14ac:dyDescent="0.2">
      <c r="A852" s="270"/>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c r="X852" s="270"/>
      <c r="Y852" s="270"/>
      <c r="Z852" s="270"/>
    </row>
    <row r="853" spans="1:26" ht="14.25" customHeight="1" x14ac:dyDescent="0.2">
      <c r="A853" s="270"/>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row>
    <row r="854" spans="1:26" ht="14.25" customHeight="1" x14ac:dyDescent="0.2">
      <c r="A854" s="270"/>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row>
    <row r="855" spans="1:26" ht="14.25" customHeight="1" x14ac:dyDescent="0.2">
      <c r="A855" s="270"/>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row>
    <row r="856" spans="1:26" ht="14.25" customHeight="1" x14ac:dyDescent="0.2">
      <c r="A856" s="270"/>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c r="X856" s="270"/>
      <c r="Y856" s="270"/>
      <c r="Z856" s="270"/>
    </row>
    <row r="857" spans="1:26" ht="14.25" customHeight="1" x14ac:dyDescent="0.2">
      <c r="A857" s="270"/>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row>
    <row r="858" spans="1:26" ht="14.25" customHeight="1" x14ac:dyDescent="0.2">
      <c r="A858" s="270"/>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row>
    <row r="859" spans="1:26" ht="14.25" customHeight="1" x14ac:dyDescent="0.2">
      <c r="A859" s="270"/>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row>
    <row r="860" spans="1:26" ht="14.25" customHeight="1" x14ac:dyDescent="0.2">
      <c r="A860" s="270"/>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row>
    <row r="861" spans="1:26" ht="14.25" customHeight="1" x14ac:dyDescent="0.2">
      <c r="A861" s="270"/>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row>
    <row r="862" spans="1:26" ht="14.25" customHeight="1" x14ac:dyDescent="0.2">
      <c r="A862" s="270"/>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row>
    <row r="863" spans="1:26" ht="14.25" customHeight="1" x14ac:dyDescent="0.2">
      <c r="A863" s="270"/>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row>
    <row r="864" spans="1:26" ht="14.25" customHeight="1" x14ac:dyDescent="0.2">
      <c r="A864" s="270"/>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row>
    <row r="865" spans="1:26" ht="14.25" customHeight="1" x14ac:dyDescent="0.2">
      <c r="A865" s="270"/>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row>
    <row r="866" spans="1:26" ht="14.25" customHeight="1" x14ac:dyDescent="0.2">
      <c r="A866" s="270"/>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row>
    <row r="867" spans="1:26" ht="14.25" customHeight="1" x14ac:dyDescent="0.2">
      <c r="A867" s="270"/>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row>
    <row r="868" spans="1:26" ht="14.25" customHeight="1" x14ac:dyDescent="0.2">
      <c r="A868" s="270"/>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row>
    <row r="869" spans="1:26" ht="14.25" customHeight="1" x14ac:dyDescent="0.2">
      <c r="A869" s="270"/>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row>
    <row r="870" spans="1:26" ht="14.25" customHeight="1" x14ac:dyDescent="0.2">
      <c r="A870" s="270"/>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row>
    <row r="871" spans="1:26" ht="14.25" customHeight="1" x14ac:dyDescent="0.2">
      <c r="A871" s="270"/>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c r="X871" s="270"/>
      <c r="Y871" s="270"/>
      <c r="Z871" s="270"/>
    </row>
    <row r="872" spans="1:26" ht="14.25" customHeight="1" x14ac:dyDescent="0.2">
      <c r="A872" s="270"/>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row>
    <row r="873" spans="1:26" ht="14.25" customHeight="1" x14ac:dyDescent="0.2">
      <c r="A873" s="270"/>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row>
    <row r="874" spans="1:26" ht="14.25" customHeight="1" x14ac:dyDescent="0.2">
      <c r="A874" s="270"/>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row>
    <row r="875" spans="1:26" ht="14.25" customHeight="1" x14ac:dyDescent="0.2">
      <c r="A875" s="270"/>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row>
    <row r="876" spans="1:26" ht="14.25" customHeight="1" x14ac:dyDescent="0.2">
      <c r="A876" s="270"/>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row>
    <row r="877" spans="1:26" ht="14.25" customHeight="1" x14ac:dyDescent="0.2">
      <c r="A877" s="270"/>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row>
    <row r="878" spans="1:26" ht="14.25" customHeight="1" x14ac:dyDescent="0.2">
      <c r="A878" s="270"/>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row>
    <row r="879" spans="1:26" ht="14.25" customHeight="1" x14ac:dyDescent="0.2">
      <c r="A879" s="270"/>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row>
    <row r="880" spans="1:26" ht="14.25" customHeight="1" x14ac:dyDescent="0.2">
      <c r="A880" s="270"/>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row>
    <row r="881" spans="1:26" ht="14.25" customHeight="1" x14ac:dyDescent="0.2">
      <c r="A881" s="270"/>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row>
    <row r="882" spans="1:26" ht="14.25" customHeight="1" x14ac:dyDescent="0.2">
      <c r="A882" s="270"/>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row>
    <row r="883" spans="1:26" ht="14.25" customHeight="1" x14ac:dyDescent="0.2">
      <c r="A883" s="270"/>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row>
    <row r="884" spans="1:26" ht="14.25" customHeight="1" x14ac:dyDescent="0.2">
      <c r="A884" s="270"/>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row>
    <row r="885" spans="1:26" ht="14.25" customHeight="1" x14ac:dyDescent="0.2">
      <c r="A885" s="270"/>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row>
    <row r="886" spans="1:26" ht="14.25" customHeight="1" x14ac:dyDescent="0.2">
      <c r="A886" s="270"/>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row>
    <row r="887" spans="1:26" ht="14.25" customHeight="1" x14ac:dyDescent="0.2">
      <c r="A887" s="270"/>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row>
    <row r="888" spans="1:26" ht="14.25" customHeight="1" x14ac:dyDescent="0.2">
      <c r="A888" s="270"/>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row>
    <row r="889" spans="1:26" ht="14.25" customHeight="1" x14ac:dyDescent="0.2">
      <c r="A889" s="270"/>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row>
    <row r="890" spans="1:26" ht="14.25" customHeight="1" x14ac:dyDescent="0.2">
      <c r="A890" s="270"/>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row>
    <row r="891" spans="1:26" ht="14.25" customHeight="1" x14ac:dyDescent="0.2">
      <c r="A891" s="270"/>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row>
    <row r="892" spans="1:26" ht="14.25" customHeight="1" x14ac:dyDescent="0.2">
      <c r="A892" s="270"/>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row>
    <row r="893" spans="1:26" ht="14.25" customHeight="1" x14ac:dyDescent="0.2">
      <c r="A893" s="270"/>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row>
    <row r="894" spans="1:26" ht="14.25" customHeight="1" x14ac:dyDescent="0.2">
      <c r="A894" s="270"/>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row>
    <row r="895" spans="1:26" ht="14.25" customHeight="1" x14ac:dyDescent="0.2">
      <c r="A895" s="270"/>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row>
    <row r="896" spans="1:26" ht="14.25" customHeight="1" x14ac:dyDescent="0.2">
      <c r="A896" s="270"/>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row>
    <row r="897" spans="1:26" ht="14.25" customHeight="1" x14ac:dyDescent="0.2">
      <c r="A897" s="270"/>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row>
    <row r="898" spans="1:26" ht="14.25" customHeight="1" x14ac:dyDescent="0.2">
      <c r="A898" s="270"/>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row>
    <row r="899" spans="1:26" ht="14.25" customHeight="1" x14ac:dyDescent="0.2">
      <c r="A899" s="270"/>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row>
    <row r="900" spans="1:26" ht="14.25" customHeight="1" x14ac:dyDescent="0.2">
      <c r="A900" s="270"/>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row>
    <row r="901" spans="1:26" ht="14.25" customHeight="1" x14ac:dyDescent="0.2">
      <c r="A901" s="270"/>
      <c r="B901" s="270"/>
      <c r="C901" s="270"/>
      <c r="D901" s="270"/>
      <c r="E901" s="270"/>
      <c r="F901" s="270"/>
      <c r="G901" s="270"/>
      <c r="H901" s="270"/>
      <c r="I901" s="270"/>
      <c r="J901" s="270"/>
      <c r="K901" s="270"/>
      <c r="L901" s="270"/>
      <c r="M901" s="270"/>
      <c r="N901" s="270"/>
      <c r="O901" s="270"/>
      <c r="P901" s="270"/>
      <c r="Q901" s="270"/>
      <c r="R901" s="270"/>
      <c r="S901" s="270"/>
      <c r="T901" s="270"/>
      <c r="U901" s="270"/>
      <c r="V901" s="270"/>
      <c r="W901" s="270"/>
      <c r="X901" s="270"/>
      <c r="Y901" s="270"/>
      <c r="Z901" s="270"/>
    </row>
    <row r="902" spans="1:26" ht="14.25" customHeight="1" x14ac:dyDescent="0.2">
      <c r="A902" s="270"/>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c r="X902" s="270"/>
      <c r="Y902" s="270"/>
      <c r="Z902" s="270"/>
    </row>
    <row r="903" spans="1:26" ht="14.25" customHeight="1" x14ac:dyDescent="0.2">
      <c r="A903" s="270"/>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row>
    <row r="904" spans="1:26" ht="14.25" customHeight="1" x14ac:dyDescent="0.2">
      <c r="A904" s="270"/>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row>
    <row r="905" spans="1:26" ht="14.25" customHeight="1" x14ac:dyDescent="0.2">
      <c r="A905" s="270"/>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row>
    <row r="906" spans="1:26" ht="14.25" customHeight="1" x14ac:dyDescent="0.2">
      <c r="A906" s="270"/>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row>
    <row r="907" spans="1:26" ht="14.25" customHeight="1" x14ac:dyDescent="0.2">
      <c r="A907" s="270"/>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row>
    <row r="908" spans="1:26" ht="14.25" customHeight="1" x14ac:dyDescent="0.2">
      <c r="A908" s="270"/>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row>
    <row r="909" spans="1:26" ht="14.25" customHeight="1" x14ac:dyDescent="0.2">
      <c r="A909" s="270"/>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row>
    <row r="910" spans="1:26" ht="14.25" customHeight="1" x14ac:dyDescent="0.2">
      <c r="A910" s="270"/>
      <c r="B910" s="270"/>
      <c r="C910" s="270"/>
      <c r="D910" s="270"/>
      <c r="E910" s="270"/>
      <c r="F910" s="270"/>
      <c r="G910" s="270"/>
      <c r="H910" s="270"/>
      <c r="I910" s="270"/>
      <c r="J910" s="270"/>
      <c r="K910" s="270"/>
      <c r="L910" s="270"/>
      <c r="M910" s="270"/>
      <c r="N910" s="270"/>
      <c r="O910" s="270"/>
      <c r="P910" s="270"/>
      <c r="Q910" s="270"/>
      <c r="R910" s="270"/>
      <c r="S910" s="270"/>
      <c r="T910" s="270"/>
      <c r="U910" s="270"/>
      <c r="V910" s="270"/>
      <c r="W910" s="270"/>
      <c r="X910" s="270"/>
      <c r="Y910" s="270"/>
      <c r="Z910" s="270"/>
    </row>
    <row r="911" spans="1:26" ht="14.25" customHeight="1" x14ac:dyDescent="0.2">
      <c r="A911" s="270"/>
      <c r="B911" s="270"/>
      <c r="C911" s="270"/>
      <c r="D911" s="270"/>
      <c r="E911" s="270"/>
      <c r="F911" s="270"/>
      <c r="G911" s="270"/>
      <c r="H911" s="270"/>
      <c r="I911" s="270"/>
      <c r="J911" s="270"/>
      <c r="K911" s="270"/>
      <c r="L911" s="270"/>
      <c r="M911" s="270"/>
      <c r="N911" s="270"/>
      <c r="O911" s="270"/>
      <c r="P911" s="270"/>
      <c r="Q911" s="270"/>
      <c r="R911" s="270"/>
      <c r="S911" s="270"/>
      <c r="T911" s="270"/>
      <c r="U911" s="270"/>
      <c r="V911" s="270"/>
      <c r="W911" s="270"/>
      <c r="X911" s="270"/>
      <c r="Y911" s="270"/>
      <c r="Z911" s="270"/>
    </row>
    <row r="912" spans="1:26" ht="14.25" customHeight="1" x14ac:dyDescent="0.2">
      <c r="A912" s="270"/>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row>
    <row r="913" spans="1:26" ht="14.25" customHeight="1" x14ac:dyDescent="0.2">
      <c r="A913" s="270"/>
      <c r="B913" s="270"/>
      <c r="C913" s="270"/>
      <c r="D913" s="270"/>
      <c r="E913" s="270"/>
      <c r="F913" s="270"/>
      <c r="G913" s="270"/>
      <c r="H913" s="270"/>
      <c r="I913" s="270"/>
      <c r="J913" s="270"/>
      <c r="K913" s="270"/>
      <c r="L913" s="270"/>
      <c r="M913" s="270"/>
      <c r="N913" s="270"/>
      <c r="O913" s="270"/>
      <c r="P913" s="270"/>
      <c r="Q913" s="270"/>
      <c r="R913" s="270"/>
      <c r="S913" s="270"/>
      <c r="T913" s="270"/>
      <c r="U913" s="270"/>
      <c r="V913" s="270"/>
      <c r="W913" s="270"/>
      <c r="X913" s="270"/>
      <c r="Y913" s="270"/>
      <c r="Z913" s="270"/>
    </row>
    <row r="914" spans="1:26" ht="14.25" customHeight="1" x14ac:dyDescent="0.2">
      <c r="A914" s="270"/>
      <c r="B914" s="270"/>
      <c r="C914" s="270"/>
      <c r="D914" s="270"/>
      <c r="E914" s="270"/>
      <c r="F914" s="270"/>
      <c r="G914" s="270"/>
      <c r="H914" s="270"/>
      <c r="I914" s="270"/>
      <c r="J914" s="270"/>
      <c r="K914" s="270"/>
      <c r="L914" s="270"/>
      <c r="M914" s="270"/>
      <c r="N914" s="270"/>
      <c r="O914" s="270"/>
      <c r="P914" s="270"/>
      <c r="Q914" s="270"/>
      <c r="R914" s="270"/>
      <c r="S914" s="270"/>
      <c r="T914" s="270"/>
      <c r="U914" s="270"/>
      <c r="V914" s="270"/>
      <c r="W914" s="270"/>
      <c r="X914" s="270"/>
      <c r="Y914" s="270"/>
      <c r="Z914" s="270"/>
    </row>
    <row r="915" spans="1:26" ht="14.25" customHeight="1" x14ac:dyDescent="0.2">
      <c r="A915" s="270"/>
      <c r="B915" s="270"/>
      <c r="C915" s="270"/>
      <c r="D915" s="270"/>
      <c r="E915" s="270"/>
      <c r="F915" s="270"/>
      <c r="G915" s="270"/>
      <c r="H915" s="270"/>
      <c r="I915" s="270"/>
      <c r="J915" s="270"/>
      <c r="K915" s="270"/>
      <c r="L915" s="270"/>
      <c r="M915" s="270"/>
      <c r="N915" s="270"/>
      <c r="O915" s="270"/>
      <c r="P915" s="270"/>
      <c r="Q915" s="270"/>
      <c r="R915" s="270"/>
      <c r="S915" s="270"/>
      <c r="T915" s="270"/>
      <c r="U915" s="270"/>
      <c r="V915" s="270"/>
      <c r="W915" s="270"/>
      <c r="X915" s="270"/>
      <c r="Y915" s="270"/>
      <c r="Z915" s="270"/>
    </row>
    <row r="916" spans="1:26" ht="14.25" customHeight="1" x14ac:dyDescent="0.2">
      <c r="A916" s="270"/>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row>
    <row r="917" spans="1:26" ht="14.25" customHeight="1" x14ac:dyDescent="0.2">
      <c r="A917" s="270"/>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row>
    <row r="918" spans="1:26" ht="14.25" customHeight="1" x14ac:dyDescent="0.2">
      <c r="A918" s="270"/>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row>
    <row r="919" spans="1:26" ht="14.25" customHeight="1" x14ac:dyDescent="0.2">
      <c r="A919" s="270"/>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row>
    <row r="920" spans="1:26" ht="14.25" customHeight="1" x14ac:dyDescent="0.2">
      <c r="A920" s="270"/>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row>
    <row r="921" spans="1:26" ht="14.25" customHeight="1" x14ac:dyDescent="0.2">
      <c r="A921" s="270"/>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row>
    <row r="922" spans="1:26" ht="14.25" customHeight="1" x14ac:dyDescent="0.2">
      <c r="A922" s="270"/>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row>
    <row r="923" spans="1:26" ht="14.25" customHeight="1" x14ac:dyDescent="0.2">
      <c r="A923" s="270"/>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row>
    <row r="924" spans="1:26" ht="14.25" customHeight="1" x14ac:dyDescent="0.2">
      <c r="A924" s="270"/>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row>
    <row r="925" spans="1:26" ht="14.25" customHeight="1" x14ac:dyDescent="0.2">
      <c r="A925" s="270"/>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row>
    <row r="926" spans="1:26" ht="14.25" customHeight="1" x14ac:dyDescent="0.2">
      <c r="A926" s="270"/>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row>
    <row r="927" spans="1:26" ht="14.25" customHeight="1" x14ac:dyDescent="0.2">
      <c r="A927" s="270"/>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row>
    <row r="928" spans="1:26" ht="14.25" customHeight="1" x14ac:dyDescent="0.2">
      <c r="A928" s="270"/>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row>
    <row r="929" spans="1:26" ht="14.25" customHeight="1" x14ac:dyDescent="0.2">
      <c r="A929" s="270"/>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row>
    <row r="930" spans="1:26" ht="14.25" customHeight="1" x14ac:dyDescent="0.2">
      <c r="A930" s="270"/>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row>
    <row r="931" spans="1:26" ht="14.25" customHeight="1" x14ac:dyDescent="0.2">
      <c r="A931" s="270"/>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row>
    <row r="932" spans="1:26" ht="14.25" customHeight="1" x14ac:dyDescent="0.2">
      <c r="A932" s="270"/>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row>
    <row r="933" spans="1:26" ht="14.25" customHeight="1" x14ac:dyDescent="0.2">
      <c r="A933" s="270"/>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row>
    <row r="934" spans="1:26" ht="14.25" customHeight="1" x14ac:dyDescent="0.2">
      <c r="A934" s="270"/>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row>
    <row r="935" spans="1:26" ht="14.25" customHeight="1" x14ac:dyDescent="0.2">
      <c r="A935" s="270"/>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row>
    <row r="936" spans="1:26" ht="14.25" customHeight="1" x14ac:dyDescent="0.2">
      <c r="A936" s="270"/>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row>
    <row r="937" spans="1:26" ht="14.25" customHeight="1" x14ac:dyDescent="0.2">
      <c r="A937" s="270"/>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row>
    <row r="938" spans="1:26" ht="14.25" customHeight="1" x14ac:dyDescent="0.2">
      <c r="A938" s="270"/>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row>
    <row r="939" spans="1:26" ht="14.25" customHeight="1" x14ac:dyDescent="0.2">
      <c r="A939" s="270"/>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row>
    <row r="940" spans="1:26" ht="14.25" customHeight="1" x14ac:dyDescent="0.2">
      <c r="A940" s="270"/>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row>
    <row r="941" spans="1:26" ht="14.25" customHeight="1" x14ac:dyDescent="0.2">
      <c r="A941" s="270"/>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row>
    <row r="942" spans="1:26" ht="14.25" customHeight="1" x14ac:dyDescent="0.2">
      <c r="A942" s="270"/>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row>
    <row r="943" spans="1:26" ht="14.25" customHeight="1" x14ac:dyDescent="0.2">
      <c r="A943" s="270"/>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row>
    <row r="944" spans="1:26" ht="14.25" customHeight="1" x14ac:dyDescent="0.2">
      <c r="A944" s="270"/>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row>
    <row r="945" spans="1:26" ht="14.25" customHeight="1" x14ac:dyDescent="0.2">
      <c r="A945" s="270"/>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row>
    <row r="946" spans="1:26" ht="14.25" customHeight="1" x14ac:dyDescent="0.2">
      <c r="A946" s="270"/>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row>
    <row r="947" spans="1:26" ht="14.25" customHeight="1" x14ac:dyDescent="0.2">
      <c r="A947" s="270"/>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row>
    <row r="948" spans="1:26" ht="14.25" customHeight="1" x14ac:dyDescent="0.2">
      <c r="A948" s="270"/>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row>
    <row r="949" spans="1:26" ht="14.25" customHeight="1" x14ac:dyDescent="0.2">
      <c r="A949" s="270"/>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row>
    <row r="950" spans="1:26" ht="14.25" customHeight="1" x14ac:dyDescent="0.2">
      <c r="A950" s="270"/>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row>
    <row r="951" spans="1:26" ht="14.25" customHeight="1" x14ac:dyDescent="0.2">
      <c r="A951" s="270"/>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row>
    <row r="952" spans="1:26" ht="14.25" customHeight="1" x14ac:dyDescent="0.2">
      <c r="A952" s="270"/>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row>
    <row r="953" spans="1:26" ht="14.25" customHeight="1" x14ac:dyDescent="0.2">
      <c r="A953" s="270"/>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row>
    <row r="954" spans="1:26" ht="14.25" customHeight="1" x14ac:dyDescent="0.2">
      <c r="A954" s="270"/>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row>
    <row r="955" spans="1:26" ht="14.25" customHeight="1" x14ac:dyDescent="0.2">
      <c r="A955" s="270"/>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row>
    <row r="956" spans="1:26" ht="14.25" customHeight="1" x14ac:dyDescent="0.2">
      <c r="A956" s="270"/>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row>
    <row r="957" spans="1:26" ht="14.25" customHeight="1" x14ac:dyDescent="0.2">
      <c r="A957" s="270"/>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row>
    <row r="958" spans="1:26" ht="14.25" customHeight="1" x14ac:dyDescent="0.2">
      <c r="A958" s="270"/>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row>
    <row r="959" spans="1:26" ht="14.25" customHeight="1" x14ac:dyDescent="0.2">
      <c r="A959" s="270"/>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row>
    <row r="960" spans="1:26" ht="14.25" customHeight="1" x14ac:dyDescent="0.2">
      <c r="A960" s="270"/>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row>
    <row r="961" spans="1:26" ht="14.25" customHeight="1" x14ac:dyDescent="0.2">
      <c r="A961" s="270"/>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row>
    <row r="962" spans="1:26" ht="14.25" customHeight="1" x14ac:dyDescent="0.2">
      <c r="A962" s="270"/>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row>
    <row r="963" spans="1:26" ht="14.25" customHeight="1" x14ac:dyDescent="0.2">
      <c r="A963" s="270"/>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row>
    <row r="964" spans="1:26" ht="14.25" customHeight="1" x14ac:dyDescent="0.2">
      <c r="A964" s="270"/>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row>
    <row r="965" spans="1:26" ht="14.25" customHeight="1" x14ac:dyDescent="0.2">
      <c r="A965" s="270"/>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row>
    <row r="966" spans="1:26" ht="14.25" customHeight="1" x14ac:dyDescent="0.2">
      <c r="A966" s="270"/>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row>
    <row r="967" spans="1:26" ht="14.25" customHeight="1" x14ac:dyDescent="0.2">
      <c r="A967" s="270"/>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row>
    <row r="968" spans="1:26" ht="14.25" customHeight="1" x14ac:dyDescent="0.2">
      <c r="A968" s="270"/>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row>
    <row r="969" spans="1:26" ht="14.25" customHeight="1" x14ac:dyDescent="0.2">
      <c r="A969" s="270"/>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row>
    <row r="970" spans="1:26" ht="14.25" customHeight="1" x14ac:dyDescent="0.2">
      <c r="A970" s="270"/>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row>
    <row r="971" spans="1:26" ht="14.25" customHeight="1" x14ac:dyDescent="0.2">
      <c r="A971" s="270"/>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row>
    <row r="972" spans="1:26" ht="14.25" customHeight="1" x14ac:dyDescent="0.2">
      <c r="A972" s="270"/>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row>
    <row r="973" spans="1:26" ht="14.25" customHeight="1" x14ac:dyDescent="0.2">
      <c r="A973" s="270"/>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row>
    <row r="974" spans="1:26" ht="14.25" customHeight="1" x14ac:dyDescent="0.2">
      <c r="A974" s="270"/>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row>
    <row r="975" spans="1:26" ht="14.25" customHeight="1" x14ac:dyDescent="0.2">
      <c r="A975" s="270"/>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row>
    <row r="976" spans="1:26" ht="14.25" customHeight="1" x14ac:dyDescent="0.2">
      <c r="A976" s="270"/>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row>
    <row r="977" spans="1:26" ht="14.25" customHeight="1" x14ac:dyDescent="0.2">
      <c r="A977" s="270"/>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row>
    <row r="978" spans="1:26" ht="14.25" customHeight="1" x14ac:dyDescent="0.2">
      <c r="A978" s="270"/>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row>
    <row r="979" spans="1:26" ht="14.25" customHeight="1" x14ac:dyDescent="0.2">
      <c r="A979" s="270"/>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c r="X979" s="270"/>
      <c r="Y979" s="270"/>
      <c r="Z979" s="270"/>
    </row>
    <row r="980" spans="1:26" ht="14.25" customHeight="1" x14ac:dyDescent="0.2">
      <c r="A980" s="270"/>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row>
    <row r="981" spans="1:26" ht="14.25" customHeight="1" x14ac:dyDescent="0.2">
      <c r="A981" s="270"/>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row>
    <row r="982" spans="1:26" ht="14.25" customHeight="1" x14ac:dyDescent="0.2">
      <c r="A982" s="270"/>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row>
    <row r="983" spans="1:26" ht="14.25" customHeight="1" x14ac:dyDescent="0.2">
      <c r="A983" s="270"/>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row>
    <row r="984" spans="1:26" ht="14.25" customHeight="1" x14ac:dyDescent="0.2">
      <c r="A984" s="270"/>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row>
    <row r="985" spans="1:26" ht="14.25" customHeight="1" x14ac:dyDescent="0.2">
      <c r="A985" s="270"/>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row>
    <row r="986" spans="1:26" ht="14.25" customHeight="1" x14ac:dyDescent="0.2">
      <c r="A986" s="270"/>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row>
    <row r="987" spans="1:26" ht="14.25" customHeight="1" x14ac:dyDescent="0.2">
      <c r="A987" s="270"/>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row>
    <row r="988" spans="1:26" ht="14.25" customHeight="1" x14ac:dyDescent="0.2">
      <c r="A988" s="270"/>
      <c r="B988" s="270"/>
      <c r="C988" s="270"/>
      <c r="D988" s="270"/>
      <c r="E988" s="270"/>
      <c r="F988" s="270"/>
      <c r="G988" s="270"/>
      <c r="H988" s="270"/>
      <c r="I988" s="270"/>
      <c r="J988" s="270"/>
      <c r="K988" s="270"/>
      <c r="L988" s="270"/>
      <c r="M988" s="270"/>
      <c r="N988" s="270"/>
      <c r="O988" s="270"/>
      <c r="P988" s="270"/>
      <c r="Q988" s="270"/>
      <c r="R988" s="270"/>
      <c r="S988" s="270"/>
      <c r="T988" s="270"/>
      <c r="U988" s="270"/>
      <c r="V988" s="270"/>
      <c r="W988" s="270"/>
      <c r="X988" s="270"/>
      <c r="Y988" s="270"/>
      <c r="Z988" s="270"/>
    </row>
    <row r="989" spans="1:26" ht="14.25" customHeight="1" x14ac:dyDescent="0.2">
      <c r="A989" s="270"/>
      <c r="B989" s="270"/>
      <c r="C989" s="270"/>
      <c r="D989" s="270"/>
      <c r="E989" s="270"/>
      <c r="F989" s="270"/>
      <c r="G989" s="270"/>
      <c r="H989" s="270"/>
      <c r="I989" s="270"/>
      <c r="J989" s="270"/>
      <c r="K989" s="270"/>
      <c r="L989" s="270"/>
      <c r="M989" s="270"/>
      <c r="N989" s="270"/>
      <c r="O989" s="270"/>
      <c r="P989" s="270"/>
      <c r="Q989" s="270"/>
      <c r="R989" s="270"/>
      <c r="S989" s="270"/>
      <c r="T989" s="270"/>
      <c r="U989" s="270"/>
      <c r="V989" s="270"/>
      <c r="W989" s="270"/>
      <c r="X989" s="270"/>
      <c r="Y989" s="270"/>
      <c r="Z989" s="270"/>
    </row>
    <row r="990" spans="1:26" ht="14.25" customHeight="1" x14ac:dyDescent="0.2">
      <c r="A990" s="270"/>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row>
    <row r="991" spans="1:26" ht="14.25" customHeight="1" x14ac:dyDescent="0.2">
      <c r="A991" s="270"/>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c r="X991" s="270"/>
      <c r="Y991" s="270"/>
      <c r="Z991" s="270"/>
    </row>
    <row r="992" spans="1:26" ht="14.25" customHeight="1" x14ac:dyDescent="0.2">
      <c r="A992" s="270"/>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c r="X992" s="270"/>
      <c r="Y992" s="270"/>
      <c r="Z992" s="270"/>
    </row>
    <row r="993" spans="1:26" ht="14.25" customHeight="1" x14ac:dyDescent="0.2">
      <c r="A993" s="270"/>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c r="X993" s="270"/>
      <c r="Y993" s="270"/>
      <c r="Z993" s="270"/>
    </row>
    <row r="994" spans="1:26" ht="14.25" customHeight="1" x14ac:dyDescent="0.2">
      <c r="A994" s="270"/>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row>
    <row r="995" spans="1:26" ht="14.25" customHeight="1" x14ac:dyDescent="0.2">
      <c r="A995" s="270"/>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row>
    <row r="996" spans="1:26" ht="14.25" customHeight="1" x14ac:dyDescent="0.2">
      <c r="A996" s="270"/>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row>
    <row r="997" spans="1:26" ht="14.25" customHeight="1" x14ac:dyDescent="0.2">
      <c r="A997" s="270"/>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row>
    <row r="998" spans="1:26" ht="14.25" customHeight="1" x14ac:dyDescent="0.2">
      <c r="A998" s="270"/>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row>
    <row r="999" spans="1:26" ht="14.25" customHeight="1" x14ac:dyDescent="0.2">
      <c r="A999" s="270"/>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row>
    <row r="1000" spans="1:26" ht="14.25" customHeight="1" x14ac:dyDescent="0.2">
      <c r="A1000" s="270"/>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row>
  </sheetData>
  <mergeCells count="14">
    <mergeCell ref="A44:A47"/>
    <mergeCell ref="A48:A52"/>
    <mergeCell ref="A1:A2"/>
    <mergeCell ref="C1:H1"/>
    <mergeCell ref="I1:M1"/>
    <mergeCell ref="A3:A6"/>
    <mergeCell ref="A7:A11"/>
    <mergeCell ref="A12:A15"/>
    <mergeCell ref="A16:A20"/>
    <mergeCell ref="A21:A24"/>
    <mergeCell ref="A25:A29"/>
    <mergeCell ref="A30:A34"/>
    <mergeCell ref="A35:A38"/>
    <mergeCell ref="A39:A43"/>
  </mergeCells>
  <conditionalFormatting sqref="A1:C1 I1:Z1 A2:B2 L2:Z2 H2:H5 L8:Z29 N30:Z33 N34:Q34 S34:Z34 N35:Z37 N38:R38 T38:Z38 N39:Z43 N45:Z48 N52:Z54 A53:M54 A55:Z55 B56:Z56 A57:M1000">
    <cfRule type="cellIs" dxfId="115" priority="1" operator="lessThan">
      <formula>0</formula>
    </cfRule>
  </conditionalFormatting>
  <conditionalFormatting sqref="A3:E3 J6:Z7 J12:L12 J16:K17 J21:K21 A21:J23 A24:K26 B27:K29 A30:K31 B32:K34 A35:K35 B36:K38 J44:K44 A44:J46 A47:K47 J48:K49 A48:J51 N50:Z50 A52:K52">
    <cfRule type="cellIs" dxfId="114" priority="2" operator="lessThan">
      <formula>0</formula>
    </cfRule>
  </conditionalFormatting>
  <conditionalFormatting sqref="A4:G5">
    <cfRule type="cellIs" dxfId="113" priority="3" operator="lessThan">
      <formula>0</formula>
    </cfRule>
  </conditionalFormatting>
  <conditionalFormatting sqref="A6:H6">
    <cfRule type="cellIs" dxfId="112" priority="4" operator="lessThan">
      <formula>0</formula>
    </cfRule>
  </conditionalFormatting>
  <conditionalFormatting sqref="A7:I10">
    <cfRule type="cellIs" dxfId="111" priority="5" operator="lessThan">
      <formula>0</formula>
    </cfRule>
  </conditionalFormatting>
  <conditionalFormatting sqref="A12:J14">
    <cfRule type="cellIs" dxfId="110" priority="6" operator="lessThan">
      <formula>0</formula>
    </cfRule>
  </conditionalFormatting>
  <conditionalFormatting sqref="A16:J19">
    <cfRule type="cellIs" dxfId="109" priority="7" operator="lessThan">
      <formula>0</formula>
    </cfRule>
  </conditionalFormatting>
  <conditionalFormatting sqref="A11:K11">
    <cfRule type="cellIs" dxfId="108" priority="8" operator="lessThan">
      <formula>0</formula>
    </cfRule>
  </conditionalFormatting>
  <conditionalFormatting sqref="A15:K15">
    <cfRule type="cellIs" dxfId="107" priority="9" operator="lessThan">
      <formula>0</formula>
    </cfRule>
  </conditionalFormatting>
  <conditionalFormatting sqref="A20:K20">
    <cfRule type="cellIs" dxfId="106" priority="10" operator="lessThan">
      <formula>0</formula>
    </cfRule>
  </conditionalFormatting>
  <conditionalFormatting sqref="C53:M53">
    <cfRule type="cellIs" dxfId="105" priority="11" operator="lessThan">
      <formula>0</formula>
    </cfRule>
  </conditionalFormatting>
  <conditionalFormatting sqref="F3:F5">
    <cfRule type="cellIs" dxfId="104" priority="12" operator="lessThan">
      <formula>0</formula>
    </cfRule>
  </conditionalFormatting>
  <conditionalFormatting sqref="G3">
    <cfRule type="cellIs" dxfId="103" priority="13" operator="lessThan">
      <formula>0</formula>
    </cfRule>
  </conditionalFormatting>
  <conditionalFormatting sqref="I3:J6">
    <cfRule type="cellIs" dxfId="102" priority="14" operator="lessThan">
      <formula>0</formula>
    </cfRule>
  </conditionalFormatting>
  <conditionalFormatting sqref="J8:K10">
    <cfRule type="cellIs" dxfId="101" priority="15" operator="lessThan">
      <formula>0</formula>
    </cfRule>
  </conditionalFormatting>
  <conditionalFormatting sqref="K13:K14">
    <cfRule type="cellIs" dxfId="100" priority="16" operator="lessThan">
      <formula>0</formula>
    </cfRule>
  </conditionalFormatting>
  <conditionalFormatting sqref="K18:K19">
    <cfRule type="cellIs" dxfId="99" priority="17" operator="lessThan">
      <formula>0</formula>
    </cfRule>
  </conditionalFormatting>
  <conditionalFormatting sqref="K22:K23">
    <cfRule type="cellIs" dxfId="98" priority="18" operator="lessThan">
      <formula>0</formula>
    </cfRule>
  </conditionalFormatting>
  <conditionalFormatting sqref="K45:K46">
    <cfRule type="cellIs" dxfId="97" priority="19" operator="lessThan">
      <formula>0</formula>
    </cfRule>
  </conditionalFormatting>
  <conditionalFormatting sqref="K50:K51">
    <cfRule type="cellIs" dxfId="96" priority="20" operator="lessThan">
      <formula>0</formula>
    </cfRule>
  </conditionalFormatting>
  <conditionalFormatting sqref="K3:Z5">
    <cfRule type="cellIs" dxfId="95" priority="21" operator="lessThan">
      <formula>0</formula>
    </cfRule>
  </conditionalFormatting>
  <conditionalFormatting sqref="L30:M52 A39:K40 B41:K43">
    <cfRule type="cellIs" dxfId="94" priority="22" operator="lessThan">
      <formula>0</formula>
    </cfRule>
  </conditionalFormatting>
  <pageMargins left="0.7" right="0.7" top="0.78740157499999996" bottom="0.78740157499999996"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A0C4E3"/>
  </sheetPr>
  <dimension ref="A1:AB1000"/>
  <sheetViews>
    <sheetView showGridLines="0" zoomScale="43" zoomScaleNormal="55" workbookViewId="0">
      <pane xSplit="1" ySplit="2" topLeftCell="B3" activePane="bottomRight" state="frozen"/>
      <selection pane="topRight" activeCell="B1" sqref="B1"/>
      <selection pane="bottomLeft" activeCell="A3" sqref="A3"/>
      <selection pane="bottomRight" activeCell="H17" sqref="H17"/>
    </sheetView>
  </sheetViews>
  <sheetFormatPr baseColWidth="10" defaultColWidth="14.5" defaultRowHeight="15" customHeight="1" x14ac:dyDescent="0.2"/>
  <cols>
    <col min="1" max="1" width="53.5" customWidth="1"/>
    <col min="2" max="2" width="40.5" customWidth="1"/>
    <col min="3" max="3" width="25.83203125" customWidth="1"/>
    <col min="4" max="4" width="24.5" customWidth="1"/>
    <col min="5" max="6" width="25.83203125" customWidth="1"/>
    <col min="7" max="7" width="32.5" customWidth="1"/>
    <col min="8" max="12" width="25.83203125" customWidth="1"/>
    <col min="13" max="13" width="40.33203125" customWidth="1"/>
  </cols>
  <sheetData>
    <row r="1" spans="1:28" ht="27.75" customHeight="1" x14ac:dyDescent="0.25">
      <c r="A1" s="606" t="s">
        <v>378</v>
      </c>
      <c r="B1" s="608" t="s">
        <v>330</v>
      </c>
      <c r="C1" s="609" t="s">
        <v>379</v>
      </c>
      <c r="D1" s="610"/>
      <c r="E1" s="610"/>
      <c r="F1" s="610"/>
      <c r="G1" s="610"/>
      <c r="H1" s="611"/>
      <c r="I1" s="612" t="s">
        <v>503</v>
      </c>
      <c r="J1" s="610"/>
      <c r="K1" s="610"/>
      <c r="L1" s="610"/>
      <c r="M1" s="611"/>
      <c r="N1" s="312"/>
      <c r="O1" s="312"/>
      <c r="P1" s="312"/>
      <c r="Q1" s="312"/>
      <c r="R1" s="312"/>
      <c r="S1" s="312"/>
      <c r="T1" s="312"/>
      <c r="U1" s="312"/>
      <c r="V1" s="312"/>
      <c r="W1" s="312"/>
      <c r="X1" s="312"/>
      <c r="Y1" s="312"/>
      <c r="Z1" s="312"/>
      <c r="AA1" s="312"/>
      <c r="AB1" s="312"/>
    </row>
    <row r="2" spans="1:28" ht="27.75" customHeight="1" x14ac:dyDescent="0.25">
      <c r="A2" s="607"/>
      <c r="B2" s="623"/>
      <c r="C2" s="129" t="s">
        <v>381</v>
      </c>
      <c r="D2" s="130" t="s">
        <v>551</v>
      </c>
      <c r="E2" s="131" t="s">
        <v>383</v>
      </c>
      <c r="F2" s="132" t="s">
        <v>384</v>
      </c>
      <c r="G2" s="133" t="s">
        <v>456</v>
      </c>
      <c r="H2" s="134" t="s">
        <v>386</v>
      </c>
      <c r="I2" s="135" t="s">
        <v>381</v>
      </c>
      <c r="J2" s="136" t="s">
        <v>384</v>
      </c>
      <c r="K2" s="137" t="s">
        <v>456</v>
      </c>
      <c r="L2" s="138" t="s">
        <v>386</v>
      </c>
      <c r="M2" s="139" t="s">
        <v>457</v>
      </c>
      <c r="N2" s="312"/>
      <c r="O2" s="312"/>
      <c r="P2" s="312"/>
      <c r="Q2" s="312"/>
      <c r="R2" s="312"/>
      <c r="S2" s="312"/>
      <c r="T2" s="312"/>
      <c r="U2" s="312"/>
      <c r="V2" s="312"/>
      <c r="W2" s="312"/>
      <c r="X2" s="312"/>
      <c r="Y2" s="312"/>
      <c r="Z2" s="312"/>
      <c r="AA2" s="312"/>
      <c r="AB2" s="312"/>
    </row>
    <row r="3" spans="1:28" ht="27.75" customHeight="1" x14ac:dyDescent="0.3">
      <c r="A3" s="636" t="s">
        <v>552</v>
      </c>
      <c r="B3" s="313" t="s">
        <v>534</v>
      </c>
      <c r="C3" s="314">
        <v>20</v>
      </c>
      <c r="D3" s="227">
        <v>0</v>
      </c>
      <c r="E3" s="226">
        <v>0</v>
      </c>
      <c r="F3" s="314">
        <v>0</v>
      </c>
      <c r="G3" s="314">
        <v>0</v>
      </c>
      <c r="H3" s="313">
        <f t="shared" ref="H3:H5" si="0">F3+G3-C3</f>
        <v>-20</v>
      </c>
      <c r="I3" s="226">
        <f>SUMIFS('Cashbook ING'!$B:$B, 'Cashbook ING'!$A:$A, "AW_")*1</f>
        <v>0</v>
      </c>
      <c r="J3" s="314">
        <v>0</v>
      </c>
      <c r="K3" s="226">
        <v>0</v>
      </c>
      <c r="L3" s="313">
        <f t="shared" ref="L3:L5" si="1">J3+K3+I3</f>
        <v>0</v>
      </c>
      <c r="M3" s="315">
        <f t="shared" ref="M3:M5" si="2">L3-H3</f>
        <v>20</v>
      </c>
      <c r="N3" s="280"/>
      <c r="O3" s="312"/>
      <c r="P3" s="312"/>
      <c r="Q3" s="312"/>
      <c r="R3" s="312"/>
      <c r="S3" s="312"/>
      <c r="T3" s="312"/>
      <c r="U3" s="312"/>
      <c r="V3" s="312"/>
      <c r="W3" s="312"/>
      <c r="X3" s="312"/>
      <c r="Y3" s="312"/>
      <c r="Z3" s="312"/>
      <c r="AA3" s="312"/>
      <c r="AB3" s="312"/>
    </row>
    <row r="4" spans="1:28" ht="27.75" customHeight="1" x14ac:dyDescent="0.3">
      <c r="A4" s="637"/>
      <c r="B4" s="145" t="s">
        <v>509</v>
      </c>
      <c r="C4" s="194">
        <v>0</v>
      </c>
      <c r="D4" s="143">
        <v>0</v>
      </c>
      <c r="E4" s="194">
        <v>0</v>
      </c>
      <c r="F4" s="194">
        <f t="shared" ref="F4:F5" si="3">E4*D4</f>
        <v>0</v>
      </c>
      <c r="G4" s="194">
        <v>0</v>
      </c>
      <c r="H4" s="228">
        <f t="shared" si="0"/>
        <v>0</v>
      </c>
      <c r="I4" s="194">
        <f>SUMIFS('Cashbook ING'!$B:$B, 'Cashbook ING'!$A:$A, "AW_")*-1</f>
        <v>0</v>
      </c>
      <c r="J4" s="194">
        <f>SUMIFS('Cashbook Wix'!B2:B7106,'Cashbook Wix'!A2:A7106,"AW_")</f>
        <v>0</v>
      </c>
      <c r="K4" s="194">
        <v>0</v>
      </c>
      <c r="L4" s="316">
        <f t="shared" si="1"/>
        <v>0</v>
      </c>
      <c r="M4" s="317">
        <f t="shared" si="2"/>
        <v>0</v>
      </c>
      <c r="N4" s="280"/>
      <c r="O4" s="312"/>
      <c r="P4" s="312"/>
      <c r="Q4" s="312"/>
      <c r="R4" s="312"/>
      <c r="S4" s="312"/>
      <c r="T4" s="312"/>
      <c r="U4" s="312"/>
      <c r="V4" s="312"/>
      <c r="W4" s="312"/>
      <c r="X4" s="312"/>
      <c r="Y4" s="312"/>
      <c r="Z4" s="312"/>
      <c r="AA4" s="312"/>
      <c r="AB4" s="312"/>
    </row>
    <row r="5" spans="1:28" ht="27.75" customHeight="1" x14ac:dyDescent="0.3">
      <c r="A5" s="637"/>
      <c r="B5" s="145" t="s">
        <v>510</v>
      </c>
      <c r="C5" s="194">
        <v>0</v>
      </c>
      <c r="D5" s="143">
        <v>0</v>
      </c>
      <c r="E5" s="194">
        <v>0</v>
      </c>
      <c r="F5" s="194">
        <f t="shared" si="3"/>
        <v>0</v>
      </c>
      <c r="G5" s="194">
        <v>0</v>
      </c>
      <c r="H5" s="228">
        <f t="shared" si="0"/>
        <v>0</v>
      </c>
      <c r="I5" s="194">
        <f>SUMIFS('Cashbook ING'!$B:$B, 'Cashbook ING'!$A:$A, "AW_")*-1</f>
        <v>0</v>
      </c>
      <c r="J5" s="194">
        <f>SUMIFS('Cashbook Wix'!$B$2:$B$7106,'Cashbook Wix'!$A$2:$A$7106,"AW_")</f>
        <v>0</v>
      </c>
      <c r="K5" s="194">
        <v>0</v>
      </c>
      <c r="L5" s="316">
        <f t="shared" si="1"/>
        <v>0</v>
      </c>
      <c r="M5" s="317">
        <f t="shared" si="2"/>
        <v>0</v>
      </c>
      <c r="N5" s="280"/>
      <c r="O5" s="312"/>
      <c r="P5" s="312"/>
      <c r="Q5" s="312"/>
      <c r="R5" s="312"/>
      <c r="S5" s="312"/>
      <c r="T5" s="312"/>
      <c r="U5" s="312"/>
      <c r="V5" s="312"/>
      <c r="W5" s="312"/>
      <c r="X5" s="312"/>
      <c r="Y5" s="312"/>
      <c r="Z5" s="312"/>
      <c r="AA5" s="312"/>
      <c r="AB5" s="312"/>
    </row>
    <row r="6" spans="1:28" ht="27.75" customHeight="1" x14ac:dyDescent="0.3">
      <c r="A6" s="638"/>
      <c r="B6" s="249" t="s">
        <v>511</v>
      </c>
      <c r="C6" s="233">
        <f>SUM(C3:C5)</f>
        <v>20</v>
      </c>
      <c r="D6" s="234">
        <f>SUM(D4:D5)</f>
        <v>0</v>
      </c>
      <c r="E6" s="235">
        <f>(E4*D4)+E5*D5</f>
        <v>0</v>
      </c>
      <c r="F6" s="233">
        <f t="shared" ref="F6:M6" si="4">SUM(F3:F5)</f>
        <v>0</v>
      </c>
      <c r="G6" s="235">
        <f t="shared" si="4"/>
        <v>0</v>
      </c>
      <c r="H6" s="249">
        <f t="shared" si="4"/>
        <v>-20</v>
      </c>
      <c r="I6" s="233">
        <f t="shared" si="4"/>
        <v>0</v>
      </c>
      <c r="J6" s="233">
        <f t="shared" si="4"/>
        <v>0</v>
      </c>
      <c r="K6" s="233">
        <f t="shared" si="4"/>
        <v>0</v>
      </c>
      <c r="L6" s="249">
        <f t="shared" si="4"/>
        <v>0</v>
      </c>
      <c r="M6" s="249">
        <f t="shared" si="4"/>
        <v>20</v>
      </c>
      <c r="N6" s="280"/>
      <c r="O6" s="280"/>
      <c r="P6" s="312"/>
      <c r="Q6" s="312"/>
      <c r="R6" s="312"/>
      <c r="S6" s="312"/>
      <c r="T6" s="312"/>
      <c r="U6" s="312"/>
      <c r="V6" s="312"/>
      <c r="W6" s="312"/>
      <c r="X6" s="312"/>
      <c r="Y6" s="312"/>
      <c r="Z6" s="312"/>
      <c r="AA6" s="312"/>
      <c r="AB6" s="312"/>
    </row>
    <row r="7" spans="1:28" ht="27.75" customHeight="1" x14ac:dyDescent="0.3">
      <c r="A7" s="639" t="s">
        <v>2532</v>
      </c>
      <c r="B7" s="243" t="s">
        <v>553</v>
      </c>
      <c r="C7" s="241">
        <v>60</v>
      </c>
      <c r="D7" s="247">
        <v>0</v>
      </c>
      <c r="E7" s="241">
        <v>0</v>
      </c>
      <c r="F7" s="241">
        <v>0</v>
      </c>
      <c r="G7" s="239">
        <v>20</v>
      </c>
      <c r="H7" s="242">
        <f t="shared" ref="H7:H9" si="5">F7+G7-C7</f>
        <v>-40</v>
      </c>
      <c r="I7" s="178">
        <f>SUMIFS('Cashbook ING'!$B:$B, 'Cashbook ING'!$A:$A, "AW_Rights_Snacks")</f>
        <v>-78.819999999999993</v>
      </c>
      <c r="J7" s="241">
        <v>0</v>
      </c>
      <c r="K7" s="241">
        <v>0</v>
      </c>
      <c r="L7" s="243">
        <f t="shared" ref="L7:L9" si="6">K7+J7+I7</f>
        <v>-78.819999999999993</v>
      </c>
      <c r="M7" s="318">
        <f t="shared" ref="M7:M9" si="7">L7-H7</f>
        <v>-38.819999999999993</v>
      </c>
      <c r="N7" s="280"/>
      <c r="O7" s="280"/>
      <c r="P7" s="312"/>
      <c r="Q7" s="312"/>
      <c r="R7" s="312"/>
      <c r="S7" s="312"/>
      <c r="T7" s="312"/>
      <c r="U7" s="312"/>
      <c r="V7" s="312"/>
      <c r="W7" s="312"/>
      <c r="X7" s="312"/>
      <c r="Y7" s="312"/>
      <c r="Z7" s="312"/>
      <c r="AA7" s="312"/>
      <c r="AB7" s="312"/>
    </row>
    <row r="8" spans="1:28" ht="27.75" customHeight="1" x14ac:dyDescent="0.3">
      <c r="A8" s="640"/>
      <c r="B8" s="145" t="s">
        <v>509</v>
      </c>
      <c r="C8" s="194">
        <v>0</v>
      </c>
      <c r="D8" s="143">
        <v>0</v>
      </c>
      <c r="E8" s="194">
        <v>0</v>
      </c>
      <c r="F8" s="194">
        <v>0</v>
      </c>
      <c r="G8" s="193">
        <v>0</v>
      </c>
      <c r="H8" s="228">
        <f t="shared" si="5"/>
        <v>0</v>
      </c>
      <c r="I8" s="178">
        <f>SUMIFS('Cashbook ING'!$B:$B, 'Cashbook ING'!$A:$A, "AW_")</f>
        <v>0</v>
      </c>
      <c r="J8" s="194">
        <f>SUMIFS('Cashbook Wix'!$B$2:$B$7106,'Cashbook Wix'!$A$2:$A$7106,"AW_")</f>
        <v>0</v>
      </c>
      <c r="K8" s="194">
        <v>0</v>
      </c>
      <c r="L8" s="145">
        <f t="shared" si="6"/>
        <v>0</v>
      </c>
      <c r="M8" s="317">
        <f t="shared" si="7"/>
        <v>0</v>
      </c>
      <c r="N8" s="280"/>
      <c r="O8" s="280"/>
      <c r="P8" s="312"/>
      <c r="Q8" s="312"/>
      <c r="R8" s="312"/>
      <c r="S8" s="312"/>
      <c r="T8" s="312"/>
      <c r="U8" s="312"/>
      <c r="V8" s="312"/>
      <c r="W8" s="312"/>
      <c r="X8" s="312"/>
      <c r="Y8" s="312"/>
      <c r="Z8" s="312"/>
      <c r="AA8" s="312"/>
      <c r="AB8" s="312"/>
    </row>
    <row r="9" spans="1:28" ht="27.75" customHeight="1" x14ac:dyDescent="0.3">
      <c r="A9" s="640"/>
      <c r="B9" s="145" t="s">
        <v>510</v>
      </c>
      <c r="C9" s="194">
        <v>0</v>
      </c>
      <c r="D9" s="143">
        <v>0</v>
      </c>
      <c r="E9" s="194">
        <v>0</v>
      </c>
      <c r="F9" s="194">
        <v>0</v>
      </c>
      <c r="G9" s="193">
        <v>0</v>
      </c>
      <c r="H9" s="228">
        <f t="shared" si="5"/>
        <v>0</v>
      </c>
      <c r="I9" s="178">
        <f>SUMIFS('Cashbook ING'!$B:$B, 'Cashbook ING'!$A:$A, "AW_")</f>
        <v>0</v>
      </c>
      <c r="J9" s="194">
        <f>SUMIFS('Cashbook Wix'!$B$2:$B$7106,'Cashbook Wix'!$A$2:$A$7106,"AW_")</f>
        <v>0</v>
      </c>
      <c r="K9" s="194">
        <v>0</v>
      </c>
      <c r="L9" s="145">
        <f t="shared" si="6"/>
        <v>0</v>
      </c>
      <c r="M9" s="317">
        <f t="shared" si="7"/>
        <v>0</v>
      </c>
      <c r="N9" s="280"/>
      <c r="O9" s="280"/>
      <c r="P9" s="312"/>
      <c r="Q9" s="312"/>
      <c r="R9" s="312"/>
      <c r="S9" s="312"/>
      <c r="T9" s="312"/>
      <c r="U9" s="312"/>
      <c r="V9" s="312"/>
      <c r="W9" s="312"/>
      <c r="X9" s="312"/>
      <c r="Y9" s="312"/>
      <c r="Z9" s="312"/>
      <c r="AA9" s="312"/>
      <c r="AB9" s="312"/>
    </row>
    <row r="10" spans="1:28" ht="27.75" customHeight="1" x14ac:dyDescent="0.3">
      <c r="A10" s="641"/>
      <c r="B10" s="249" t="s">
        <v>511</v>
      </c>
      <c r="C10" s="233">
        <f>C7</f>
        <v>60</v>
      </c>
      <c r="D10" s="234">
        <v>0</v>
      </c>
      <c r="E10" s="235">
        <v>0</v>
      </c>
      <c r="F10" s="233">
        <v>0</v>
      </c>
      <c r="G10" s="235">
        <f>G7</f>
        <v>20</v>
      </c>
      <c r="H10" s="249">
        <f>SUM(H7:H9)</f>
        <v>-40</v>
      </c>
      <c r="I10" s="233">
        <f t="shared" ref="I10:L10" si="8">I7</f>
        <v>-78.819999999999993</v>
      </c>
      <c r="J10" s="233">
        <f t="shared" si="8"/>
        <v>0</v>
      </c>
      <c r="K10" s="233">
        <f t="shared" si="8"/>
        <v>0</v>
      </c>
      <c r="L10" s="236">
        <f t="shared" si="8"/>
        <v>-78.819999999999993</v>
      </c>
      <c r="M10" s="249">
        <f>SUM(M7:M9)</f>
        <v>-38.819999999999993</v>
      </c>
      <c r="N10" s="280"/>
      <c r="O10" s="280"/>
      <c r="P10" s="312"/>
      <c r="Q10" s="312"/>
      <c r="R10" s="312"/>
      <c r="S10" s="312"/>
      <c r="T10" s="312"/>
      <c r="U10" s="312"/>
      <c r="V10" s="312"/>
      <c r="W10" s="312"/>
      <c r="X10" s="312"/>
      <c r="Y10" s="312"/>
      <c r="Z10" s="312"/>
      <c r="AA10" s="312"/>
      <c r="AB10" s="312"/>
    </row>
    <row r="11" spans="1:28" ht="27.75" customHeight="1" x14ac:dyDescent="0.3">
      <c r="A11" s="636" t="s">
        <v>554</v>
      </c>
      <c r="B11" s="248" t="s">
        <v>555</v>
      </c>
      <c r="C11" s="241">
        <v>40</v>
      </c>
      <c r="D11" s="247">
        <v>0</v>
      </c>
      <c r="E11" s="241">
        <v>0</v>
      </c>
      <c r="F11" s="241">
        <v>0</v>
      </c>
      <c r="G11" s="241">
        <v>20</v>
      </c>
      <c r="H11" s="242">
        <f t="shared" ref="H11:H12" si="9">G11+F11-C11</f>
        <v>-20</v>
      </c>
      <c r="I11" s="241">
        <f>SUMIFS('Cashbook ING'!$B:$B, 'Cashbook ING'!$A:$A, "AW_")*-1</f>
        <v>0</v>
      </c>
      <c r="J11" s="241">
        <f>SUMIFS('Cashbook Wix'!B2:B7106,'Cashbook Wix'!A2:A7106,"AW_")</f>
        <v>0</v>
      </c>
      <c r="K11" s="241">
        <v>0</v>
      </c>
      <c r="L11" s="248">
        <f t="shared" ref="L11:L12" si="10">I11+J11+K11</f>
        <v>0</v>
      </c>
      <c r="M11" s="318">
        <f t="shared" ref="M11:M12" si="11">L11-H11</f>
        <v>20</v>
      </c>
      <c r="N11" s="280"/>
      <c r="O11" s="312"/>
      <c r="P11" s="312"/>
      <c r="Q11" s="312"/>
      <c r="R11" s="312"/>
      <c r="S11" s="312"/>
      <c r="T11" s="312"/>
      <c r="U11" s="312"/>
      <c r="V11" s="312"/>
      <c r="W11" s="312"/>
      <c r="X11" s="312"/>
      <c r="Y11" s="312"/>
      <c r="Z11" s="312"/>
      <c r="AA11" s="312"/>
      <c r="AB11" s="312"/>
    </row>
    <row r="12" spans="1:28" ht="27.75" customHeight="1" x14ac:dyDescent="0.3">
      <c r="A12" s="637"/>
      <c r="B12" s="316" t="s">
        <v>556</v>
      </c>
      <c r="C12" s="194">
        <v>0</v>
      </c>
      <c r="D12" s="143">
        <v>0</v>
      </c>
      <c r="E12" s="194">
        <v>0</v>
      </c>
      <c r="F12" s="194">
        <v>0</v>
      </c>
      <c r="G12" s="194">
        <v>0</v>
      </c>
      <c r="H12" s="228">
        <f t="shared" si="9"/>
        <v>0</v>
      </c>
      <c r="I12" s="194">
        <f>SUMIFS('Cashbook ING'!$B:$B, 'Cashbook ING'!$A:$A, "AW_")*-1</f>
        <v>0</v>
      </c>
      <c r="J12" s="194">
        <f>SUMIFS('Cashbook Wix'!B2:B7106,'Cashbook Wix'!A2:A7106,"AW_")</f>
        <v>0</v>
      </c>
      <c r="K12" s="194">
        <v>0</v>
      </c>
      <c r="L12" s="316">
        <f t="shared" si="10"/>
        <v>0</v>
      </c>
      <c r="M12" s="317">
        <f t="shared" si="11"/>
        <v>0</v>
      </c>
      <c r="N12" s="280"/>
      <c r="O12" s="312"/>
      <c r="P12" s="312"/>
      <c r="Q12" s="312"/>
      <c r="R12" s="312"/>
      <c r="S12" s="312"/>
      <c r="T12" s="312"/>
      <c r="U12" s="312"/>
      <c r="V12" s="312"/>
      <c r="W12" s="312"/>
      <c r="X12" s="312"/>
      <c r="Y12" s="312"/>
      <c r="Z12" s="312"/>
      <c r="AA12" s="312"/>
      <c r="AB12" s="312"/>
    </row>
    <row r="13" spans="1:28" ht="27.75" customHeight="1" x14ac:dyDescent="0.3">
      <c r="A13" s="638"/>
      <c r="B13" s="249" t="s">
        <v>511</v>
      </c>
      <c r="C13" s="235">
        <f t="shared" ref="C13:M13" si="12">SUM(C11:C12)</f>
        <v>40</v>
      </c>
      <c r="D13" s="234">
        <f t="shared" si="12"/>
        <v>0</v>
      </c>
      <c r="E13" s="235">
        <f t="shared" si="12"/>
        <v>0</v>
      </c>
      <c r="F13" s="235">
        <f t="shared" si="12"/>
        <v>0</v>
      </c>
      <c r="G13" s="235">
        <f t="shared" si="12"/>
        <v>20</v>
      </c>
      <c r="H13" s="236">
        <f t="shared" si="12"/>
        <v>-20</v>
      </c>
      <c r="I13" s="235">
        <f t="shared" si="12"/>
        <v>0</v>
      </c>
      <c r="J13" s="235">
        <f t="shared" si="12"/>
        <v>0</v>
      </c>
      <c r="K13" s="235">
        <f t="shared" si="12"/>
        <v>0</v>
      </c>
      <c r="L13" s="249">
        <f t="shared" si="12"/>
        <v>0</v>
      </c>
      <c r="M13" s="252">
        <f t="shared" si="12"/>
        <v>20</v>
      </c>
      <c r="N13" s="280"/>
      <c r="O13" s="312"/>
      <c r="P13" s="312"/>
      <c r="Q13" s="312"/>
      <c r="R13" s="312"/>
      <c r="S13" s="312"/>
      <c r="T13" s="312"/>
      <c r="U13" s="312"/>
      <c r="V13" s="312"/>
      <c r="W13" s="312"/>
      <c r="X13" s="312"/>
      <c r="Y13" s="312"/>
      <c r="Z13" s="312"/>
      <c r="AA13" s="312"/>
      <c r="AB13" s="312"/>
    </row>
    <row r="14" spans="1:28" ht="27.75" customHeight="1" x14ac:dyDescent="0.3">
      <c r="A14" s="642" t="s">
        <v>557</v>
      </c>
      <c r="B14" s="248" t="s">
        <v>558</v>
      </c>
      <c r="C14" s="241">
        <v>150</v>
      </c>
      <c r="D14" s="247">
        <v>0</v>
      </c>
      <c r="E14" s="241">
        <v>0</v>
      </c>
      <c r="F14" s="241">
        <v>0</v>
      </c>
      <c r="G14" s="241">
        <v>0</v>
      </c>
      <c r="H14" s="242">
        <f t="shared" ref="H14:H15" si="13">G14+F14-C14</f>
        <v>-150</v>
      </c>
      <c r="I14" s="241">
        <f>SUMIFS('Cashbook ING'!$B:$B, 'Cashbook ING'!$A:$A, "AW_")*-1</f>
        <v>0</v>
      </c>
      <c r="J14" s="241">
        <f>SUMIFS('Cashbook Wix'!B4:B7109,'Cashbook Wix'!A4:A7109,"AW_")</f>
        <v>0</v>
      </c>
      <c r="K14" s="241">
        <v>0</v>
      </c>
      <c r="L14" s="248">
        <f t="shared" ref="L14:L15" si="14">I14+J14+K14</f>
        <v>0</v>
      </c>
      <c r="M14" s="318">
        <f t="shared" ref="M14:M15" si="15">L14-H14</f>
        <v>150</v>
      </c>
      <c r="N14" s="280"/>
      <c r="O14" s="312"/>
      <c r="P14" s="312"/>
      <c r="Q14" s="312"/>
      <c r="R14" s="312"/>
      <c r="S14" s="312"/>
      <c r="T14" s="312"/>
      <c r="U14" s="312"/>
      <c r="V14" s="312"/>
      <c r="W14" s="312"/>
      <c r="X14" s="312"/>
      <c r="Y14" s="312"/>
      <c r="Z14" s="312"/>
      <c r="AA14" s="312"/>
      <c r="AB14" s="312"/>
    </row>
    <row r="15" spans="1:28" ht="27.75" customHeight="1" x14ac:dyDescent="0.3">
      <c r="A15" s="643"/>
      <c r="B15" s="316" t="s">
        <v>556</v>
      </c>
      <c r="C15" s="194">
        <v>0</v>
      </c>
      <c r="D15" s="143">
        <v>0</v>
      </c>
      <c r="E15" s="194">
        <v>0</v>
      </c>
      <c r="F15" s="194">
        <v>0</v>
      </c>
      <c r="G15" s="194">
        <v>0</v>
      </c>
      <c r="H15" s="228">
        <f t="shared" si="13"/>
        <v>0</v>
      </c>
      <c r="I15" s="194">
        <f>SUMIFS('Cashbook ING'!$B:$B, 'Cashbook ING'!$A:$A, "AW_")*-1</f>
        <v>0</v>
      </c>
      <c r="J15" s="194">
        <f>SUMIFS('Cashbook Wix'!B4:B7109,'Cashbook Wix'!A4:A7109,"AW_")</f>
        <v>0</v>
      </c>
      <c r="K15" s="194">
        <v>0</v>
      </c>
      <c r="L15" s="316">
        <f t="shared" si="14"/>
        <v>0</v>
      </c>
      <c r="M15" s="317">
        <f t="shared" si="15"/>
        <v>0</v>
      </c>
      <c r="N15" s="280"/>
      <c r="O15" s="312"/>
      <c r="P15" s="312"/>
      <c r="Q15" s="312"/>
      <c r="R15" s="312"/>
      <c r="S15" s="312"/>
      <c r="T15" s="312"/>
      <c r="U15" s="312"/>
      <c r="V15" s="312"/>
      <c r="W15" s="312"/>
      <c r="X15" s="312"/>
      <c r="Y15" s="312"/>
      <c r="Z15" s="312"/>
      <c r="AA15" s="312"/>
      <c r="AB15" s="312"/>
    </row>
    <row r="16" spans="1:28" ht="27.75" customHeight="1" x14ac:dyDescent="0.3">
      <c r="A16" s="644"/>
      <c r="B16" s="249" t="s">
        <v>511</v>
      </c>
      <c r="C16" s="235">
        <f t="shared" ref="C16:M16" si="16">SUM(C14:C15)</f>
        <v>150</v>
      </c>
      <c r="D16" s="234">
        <f t="shared" si="16"/>
        <v>0</v>
      </c>
      <c r="E16" s="235">
        <f t="shared" si="16"/>
        <v>0</v>
      </c>
      <c r="F16" s="235">
        <f t="shared" si="16"/>
        <v>0</v>
      </c>
      <c r="G16" s="235">
        <f t="shared" si="16"/>
        <v>0</v>
      </c>
      <c r="H16" s="236">
        <f t="shared" si="16"/>
        <v>-150</v>
      </c>
      <c r="I16" s="235">
        <f t="shared" si="16"/>
        <v>0</v>
      </c>
      <c r="J16" s="235">
        <f t="shared" si="16"/>
        <v>0</v>
      </c>
      <c r="K16" s="235">
        <f t="shared" si="16"/>
        <v>0</v>
      </c>
      <c r="L16" s="249">
        <f t="shared" si="16"/>
        <v>0</v>
      </c>
      <c r="M16" s="252">
        <f t="shared" si="16"/>
        <v>150</v>
      </c>
      <c r="N16" s="280"/>
      <c r="O16" s="312"/>
      <c r="P16" s="312"/>
      <c r="Q16" s="312"/>
      <c r="R16" s="312"/>
      <c r="S16" s="312"/>
      <c r="T16" s="312"/>
      <c r="U16" s="312"/>
      <c r="V16" s="312"/>
      <c r="W16" s="312"/>
      <c r="X16" s="312"/>
      <c r="Y16" s="312"/>
      <c r="Z16" s="312"/>
      <c r="AA16" s="312"/>
      <c r="AB16" s="312"/>
    </row>
    <row r="17" spans="1:28" ht="27.75" customHeight="1" x14ac:dyDescent="0.3">
      <c r="A17" s="645" t="s">
        <v>559</v>
      </c>
      <c r="B17" s="313" t="s">
        <v>553</v>
      </c>
      <c r="C17" s="226">
        <v>30</v>
      </c>
      <c r="D17" s="227">
        <v>0</v>
      </c>
      <c r="E17" s="226">
        <v>0</v>
      </c>
      <c r="F17" s="226">
        <v>0</v>
      </c>
      <c r="G17" s="226">
        <v>20</v>
      </c>
      <c r="H17" s="276">
        <f t="shared" ref="H17:H18" si="17">F17+G17-C17</f>
        <v>-10</v>
      </c>
      <c r="I17" s="226">
        <f>SUMIFS('Cashbook ING'!$B:$B, 'Cashbook ING'!$A:$A, "AW_")*-1</f>
        <v>0</v>
      </c>
      <c r="J17" s="226">
        <f>SUMIFS('Cashbook Wix'!B2:B7106,'Cashbook Wix'!A2:A7106,"AW_")</f>
        <v>0</v>
      </c>
      <c r="K17" s="226">
        <v>0</v>
      </c>
      <c r="L17" s="313">
        <f t="shared" ref="L17:L18" si="18">I17+J17+K17</f>
        <v>0</v>
      </c>
      <c r="M17" s="315">
        <f t="shared" ref="M17:M18" si="19">L17-H17</f>
        <v>10</v>
      </c>
      <c r="N17" s="280"/>
      <c r="O17" s="312"/>
      <c r="P17" s="312"/>
      <c r="Q17" s="312"/>
      <c r="R17" s="312"/>
      <c r="S17" s="312"/>
      <c r="T17" s="312"/>
      <c r="U17" s="312"/>
      <c r="V17" s="312"/>
      <c r="W17" s="312"/>
      <c r="X17" s="312"/>
      <c r="Y17" s="312"/>
      <c r="Z17" s="312"/>
      <c r="AA17" s="312"/>
      <c r="AB17" s="312"/>
    </row>
    <row r="18" spans="1:28" ht="27.75" customHeight="1" x14ac:dyDescent="0.3">
      <c r="A18" s="620"/>
      <c r="B18" s="316" t="s">
        <v>560</v>
      </c>
      <c r="C18" s="143">
        <v>0</v>
      </c>
      <c r="D18" s="143">
        <v>0</v>
      </c>
      <c r="E18" s="194">
        <v>0</v>
      </c>
      <c r="F18" s="194">
        <v>0</v>
      </c>
      <c r="G18" s="194">
        <v>0</v>
      </c>
      <c r="H18" s="276">
        <f t="shared" si="17"/>
        <v>0</v>
      </c>
      <c r="I18" s="194">
        <v>0</v>
      </c>
      <c r="J18" s="194">
        <v>0</v>
      </c>
      <c r="K18" s="194">
        <v>0</v>
      </c>
      <c r="L18" s="316">
        <f t="shared" si="18"/>
        <v>0</v>
      </c>
      <c r="M18" s="319">
        <f t="shared" si="19"/>
        <v>0</v>
      </c>
      <c r="N18" s="280"/>
      <c r="O18" s="312"/>
      <c r="P18" s="312"/>
      <c r="Q18" s="312"/>
      <c r="R18" s="312"/>
      <c r="S18" s="312"/>
      <c r="T18" s="312"/>
      <c r="U18" s="312"/>
      <c r="V18" s="312"/>
      <c r="W18" s="312"/>
      <c r="X18" s="312"/>
      <c r="Y18" s="312"/>
      <c r="Z18" s="312"/>
      <c r="AA18" s="312"/>
      <c r="AB18" s="312"/>
    </row>
    <row r="19" spans="1:28" ht="27.75" customHeight="1" x14ac:dyDescent="0.3">
      <c r="A19" s="621"/>
      <c r="B19" s="249" t="s">
        <v>511</v>
      </c>
      <c r="C19" s="235">
        <f t="shared" ref="C19:E19" si="20">SUM(C17)</f>
        <v>30</v>
      </c>
      <c r="D19" s="234">
        <f t="shared" si="20"/>
        <v>0</v>
      </c>
      <c r="E19" s="320">
        <f t="shared" si="20"/>
        <v>0</v>
      </c>
      <c r="F19" s="320">
        <f>SUM(F17:F18)</f>
        <v>0</v>
      </c>
      <c r="G19" s="320">
        <f>SUM(G17)</f>
        <v>20</v>
      </c>
      <c r="H19" s="321">
        <f>SUM(H17:H18)</f>
        <v>-10</v>
      </c>
      <c r="I19" s="235">
        <f t="shared" ref="I19:L19" si="21">SUM(I17)</f>
        <v>0</v>
      </c>
      <c r="J19" s="235">
        <f t="shared" si="21"/>
        <v>0</v>
      </c>
      <c r="K19" s="235">
        <f t="shared" si="21"/>
        <v>0</v>
      </c>
      <c r="L19" s="249">
        <f t="shared" si="21"/>
        <v>0</v>
      </c>
      <c r="M19" s="252">
        <f>SUM(M17:M18)</f>
        <v>10</v>
      </c>
      <c r="N19" s="280"/>
      <c r="O19" s="312"/>
      <c r="P19" s="312"/>
      <c r="Q19" s="312"/>
      <c r="R19" s="312"/>
      <c r="S19" s="312"/>
      <c r="T19" s="312"/>
      <c r="U19" s="312"/>
      <c r="V19" s="312"/>
      <c r="W19" s="312"/>
      <c r="X19" s="312"/>
      <c r="Y19" s="312"/>
      <c r="Z19" s="312"/>
      <c r="AA19" s="312"/>
      <c r="AB19" s="312"/>
    </row>
    <row r="20" spans="1:28" ht="27.75" customHeight="1" x14ac:dyDescent="0.3">
      <c r="A20" s="646" t="s">
        <v>561</v>
      </c>
      <c r="B20" s="322" t="s">
        <v>543</v>
      </c>
      <c r="C20" s="239">
        <v>50</v>
      </c>
      <c r="D20" s="240">
        <v>0</v>
      </c>
      <c r="E20" s="239">
        <v>0</v>
      </c>
      <c r="F20" s="239">
        <v>0</v>
      </c>
      <c r="G20" s="239">
        <v>30</v>
      </c>
      <c r="H20" s="323">
        <f t="shared" ref="H20:H21" si="22">G20+F20-C20</f>
        <v>-20</v>
      </c>
      <c r="I20" s="241">
        <f>SUMIFS('Cashbook ING'!$B:$B, 'Cashbook ING'!$A:$A, "AW_")*1</f>
        <v>0</v>
      </c>
      <c r="J20" s="241">
        <f>SUMIFS('Cashbook Wix'!B2:B7106,'Cashbook Wix'!A2:A7106,"AW_")</f>
        <v>0</v>
      </c>
      <c r="K20" s="241">
        <v>0</v>
      </c>
      <c r="L20" s="248">
        <f t="shared" ref="L20:L21" si="23">I20+J20+K20</f>
        <v>0</v>
      </c>
      <c r="M20" s="318">
        <f t="shared" ref="M20:M21" si="24">L20-H20</f>
        <v>20</v>
      </c>
      <c r="N20" s="280"/>
      <c r="O20" s="312"/>
      <c r="P20" s="312"/>
      <c r="Q20" s="312"/>
      <c r="R20" s="312"/>
      <c r="S20" s="312"/>
      <c r="T20" s="312"/>
      <c r="U20" s="312"/>
      <c r="V20" s="312"/>
      <c r="W20" s="312"/>
      <c r="X20" s="312"/>
      <c r="Y20" s="312"/>
      <c r="Z20" s="312"/>
      <c r="AA20" s="312"/>
      <c r="AB20" s="312"/>
    </row>
    <row r="21" spans="1:28" ht="27.75" customHeight="1" x14ac:dyDescent="0.3">
      <c r="A21" s="620"/>
      <c r="B21" s="324" t="s">
        <v>509</v>
      </c>
      <c r="C21" s="193">
        <v>0</v>
      </c>
      <c r="D21" s="160">
        <v>0</v>
      </c>
      <c r="E21" s="193">
        <v>0</v>
      </c>
      <c r="F21" s="193">
        <f>E21*D21</f>
        <v>0</v>
      </c>
      <c r="G21" s="193">
        <v>0</v>
      </c>
      <c r="H21" s="325">
        <f t="shared" si="22"/>
        <v>0</v>
      </c>
      <c r="I21" s="194">
        <f>SUMIFS('Cashbook ING'!$B:$B, 'Cashbook ING'!$A:$A, "AW_")*1</f>
        <v>0</v>
      </c>
      <c r="J21" s="194">
        <f>SUMIFS('Cashbook Wix'!B2:B7106,'Cashbook Wix'!A2:A7106,"AW_")</f>
        <v>0</v>
      </c>
      <c r="K21" s="194">
        <v>0</v>
      </c>
      <c r="L21" s="316">
        <f t="shared" si="23"/>
        <v>0</v>
      </c>
      <c r="M21" s="317">
        <f t="shared" si="24"/>
        <v>0</v>
      </c>
      <c r="N21" s="280"/>
      <c r="O21" s="312"/>
      <c r="P21" s="312"/>
      <c r="Q21" s="312"/>
      <c r="R21" s="312"/>
      <c r="S21" s="312"/>
      <c r="T21" s="312"/>
      <c r="U21" s="312"/>
      <c r="V21" s="312"/>
      <c r="W21" s="312"/>
      <c r="X21" s="312"/>
      <c r="Y21" s="312"/>
      <c r="Z21" s="312"/>
      <c r="AA21" s="312"/>
      <c r="AB21" s="312"/>
    </row>
    <row r="22" spans="1:28" ht="27.75" customHeight="1" x14ac:dyDescent="0.3">
      <c r="A22" s="621"/>
      <c r="B22" s="249" t="s">
        <v>511</v>
      </c>
      <c r="C22" s="235">
        <f t="shared" ref="C22:D22" si="25">SUM(C20:C21)</f>
        <v>50</v>
      </c>
      <c r="D22" s="234">
        <f t="shared" si="25"/>
        <v>0</v>
      </c>
      <c r="E22" s="235">
        <v>0</v>
      </c>
      <c r="F22" s="235">
        <f t="shared" ref="F22:M22" si="26">SUM(F20:F21)</f>
        <v>0</v>
      </c>
      <c r="G22" s="235">
        <f t="shared" si="26"/>
        <v>30</v>
      </c>
      <c r="H22" s="236">
        <f t="shared" si="26"/>
        <v>-20</v>
      </c>
      <c r="I22" s="235">
        <f t="shared" si="26"/>
        <v>0</v>
      </c>
      <c r="J22" s="235">
        <f t="shared" si="26"/>
        <v>0</v>
      </c>
      <c r="K22" s="235">
        <f t="shared" si="26"/>
        <v>0</v>
      </c>
      <c r="L22" s="249">
        <f t="shared" si="26"/>
        <v>0</v>
      </c>
      <c r="M22" s="252">
        <f t="shared" si="26"/>
        <v>20</v>
      </c>
      <c r="N22" s="280"/>
      <c r="O22" s="312"/>
      <c r="P22" s="312"/>
      <c r="Q22" s="312"/>
      <c r="R22" s="312"/>
      <c r="S22" s="312"/>
      <c r="T22" s="312"/>
      <c r="U22" s="312"/>
      <c r="V22" s="312"/>
      <c r="W22" s="312"/>
      <c r="X22" s="312"/>
      <c r="Y22" s="312"/>
      <c r="Z22" s="312"/>
      <c r="AA22" s="312"/>
      <c r="AB22" s="312"/>
    </row>
    <row r="23" spans="1:28" ht="27.75" customHeight="1" x14ac:dyDescent="0.35">
      <c r="A23" s="326"/>
      <c r="B23" s="327" t="s">
        <v>450</v>
      </c>
      <c r="C23" s="328">
        <f t="shared" ref="C23:H23" si="27">SUM(C6+C22+C10+C13+C19+C16)</f>
        <v>350</v>
      </c>
      <c r="D23" s="328">
        <f t="shared" si="27"/>
        <v>0</v>
      </c>
      <c r="E23" s="328">
        <f t="shared" si="27"/>
        <v>0</v>
      </c>
      <c r="F23" s="328">
        <f t="shared" si="27"/>
        <v>0</v>
      </c>
      <c r="G23" s="328">
        <f t="shared" si="27"/>
        <v>90</v>
      </c>
      <c r="H23" s="328">
        <f t="shared" si="27"/>
        <v>-260</v>
      </c>
      <c r="I23" s="328">
        <f t="shared" ref="I23:M23" si="28">SUM(I6+I10+I22+I13+I19+I16)</f>
        <v>-78.819999999999993</v>
      </c>
      <c r="J23" s="328">
        <f t="shared" si="28"/>
        <v>0</v>
      </c>
      <c r="K23" s="328">
        <f t="shared" si="28"/>
        <v>0</v>
      </c>
      <c r="L23" s="328">
        <f t="shared" si="28"/>
        <v>-78.819999999999993</v>
      </c>
      <c r="M23" s="328">
        <f t="shared" si="28"/>
        <v>181.18</v>
      </c>
      <c r="N23" s="312"/>
      <c r="O23" s="312"/>
      <c r="P23" s="312"/>
      <c r="Q23" s="312"/>
      <c r="R23" s="312"/>
      <c r="S23" s="312"/>
      <c r="T23" s="312"/>
      <c r="U23" s="312"/>
      <c r="V23" s="312"/>
      <c r="W23" s="312"/>
      <c r="X23" s="312"/>
      <c r="Y23" s="312"/>
      <c r="Z23" s="312"/>
      <c r="AA23" s="312"/>
      <c r="AB23" s="312"/>
    </row>
    <row r="24" spans="1:28" ht="27.75" customHeight="1" x14ac:dyDescent="0.2">
      <c r="A24" s="312"/>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row>
    <row r="25" spans="1:28" ht="27.75" customHeight="1" x14ac:dyDescent="0.2">
      <c r="A25" s="312"/>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row>
    <row r="26" spans="1:28" ht="27.75" customHeight="1" x14ac:dyDescent="0.2">
      <c r="A26" s="312"/>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row>
    <row r="27" spans="1:28" ht="27.75" customHeight="1" x14ac:dyDescent="0.2">
      <c r="A27" s="312"/>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row>
    <row r="28" spans="1:28" ht="15.75" customHeight="1" x14ac:dyDescent="0.2">
      <c r="A28" s="312"/>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row>
    <row r="29" spans="1:28" ht="15.75" customHeight="1" x14ac:dyDescent="0.2">
      <c r="A29" s="312"/>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row>
    <row r="30" spans="1:28" ht="15.75" customHeight="1" x14ac:dyDescent="0.2">
      <c r="A30" s="312"/>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row>
    <row r="31" spans="1:28" ht="15.75" customHeight="1" x14ac:dyDescent="0.2">
      <c r="A31" s="312"/>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row>
    <row r="32" spans="1:28" ht="15.75" customHeight="1" x14ac:dyDescent="0.2">
      <c r="A32" s="312"/>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row>
    <row r="33" spans="1:28" ht="15.75" customHeight="1" x14ac:dyDescent="0.2">
      <c r="A33" s="312"/>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row>
    <row r="34" spans="1:28" ht="15.75" customHeight="1" x14ac:dyDescent="0.2">
      <c r="A34" s="312"/>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row>
    <row r="35" spans="1:28" ht="15.75" customHeight="1" x14ac:dyDescent="0.2">
      <c r="A35" s="312"/>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row>
    <row r="36" spans="1:28" ht="15.75" customHeight="1" x14ac:dyDescent="0.2">
      <c r="A36" s="312"/>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row>
    <row r="37" spans="1:28" ht="15.75" customHeight="1" x14ac:dyDescent="0.2">
      <c r="A37" s="312"/>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row>
    <row r="38" spans="1:28" ht="15.75" customHeight="1" x14ac:dyDescent="0.2">
      <c r="A38" s="312"/>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row>
    <row r="39" spans="1:28" ht="15.75" customHeight="1" x14ac:dyDescent="0.2">
      <c r="A39" s="312"/>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row>
    <row r="40" spans="1:28" ht="15.75" customHeight="1" x14ac:dyDescent="0.2">
      <c r="A40" s="312"/>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row>
    <row r="41" spans="1:28" ht="15.75" customHeight="1" x14ac:dyDescent="0.2">
      <c r="A41" s="312"/>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row>
    <row r="42" spans="1:28" ht="15.75" customHeight="1" x14ac:dyDescent="0.2">
      <c r="A42" s="312"/>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row>
    <row r="43" spans="1:28" ht="15.75" customHeight="1" x14ac:dyDescent="0.2">
      <c r="A43" s="312"/>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row>
    <row r="44" spans="1:28" ht="15.75" customHeight="1" x14ac:dyDescent="0.2">
      <c r="A44" s="312"/>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row>
    <row r="45" spans="1:28" ht="15.75" customHeight="1" x14ac:dyDescent="0.2">
      <c r="A45" s="312"/>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row>
    <row r="46" spans="1:28" ht="15.75" customHeight="1" x14ac:dyDescent="0.2">
      <c r="A46" s="312"/>
      <c r="B46" s="312"/>
      <c r="C46" s="312"/>
      <c r="D46" s="312"/>
      <c r="E46" s="312"/>
      <c r="F46" s="312"/>
      <c r="G46" s="312"/>
      <c r="H46" s="312"/>
      <c r="I46" s="312"/>
      <c r="J46" s="312"/>
      <c r="K46" s="312"/>
      <c r="L46" s="312"/>
      <c r="M46" s="312"/>
      <c r="N46" s="312"/>
      <c r="O46" s="312"/>
      <c r="P46" s="312"/>
      <c r="Q46" s="312"/>
      <c r="R46" s="312"/>
      <c r="S46" s="312"/>
      <c r="T46" s="312"/>
      <c r="U46" s="312"/>
      <c r="V46" s="312"/>
      <c r="W46" s="312"/>
      <c r="X46" s="312"/>
      <c r="Y46" s="312"/>
      <c r="Z46" s="312"/>
      <c r="AA46" s="312"/>
      <c r="AB46" s="312"/>
    </row>
    <row r="47" spans="1:28" ht="15.75" customHeight="1" x14ac:dyDescent="0.2">
      <c r="A47" s="312"/>
      <c r="B47" s="312"/>
      <c r="C47" s="312"/>
      <c r="D47" s="312"/>
      <c r="E47" s="312"/>
      <c r="F47" s="312"/>
      <c r="G47" s="312"/>
      <c r="H47" s="312"/>
      <c r="I47" s="312"/>
      <c r="J47" s="312"/>
      <c r="K47" s="312"/>
      <c r="L47" s="312"/>
      <c r="M47" s="312"/>
      <c r="N47" s="312"/>
      <c r="O47" s="312"/>
      <c r="P47" s="312"/>
      <c r="Q47" s="312"/>
      <c r="R47" s="312"/>
      <c r="S47" s="312"/>
      <c r="T47" s="312"/>
      <c r="U47" s="312"/>
      <c r="V47" s="312"/>
      <c r="W47" s="312"/>
      <c r="X47" s="312"/>
      <c r="Y47" s="312"/>
      <c r="Z47" s="312"/>
      <c r="AA47" s="312"/>
      <c r="AB47" s="312"/>
    </row>
    <row r="48" spans="1:28" ht="15.75" customHeight="1" x14ac:dyDescent="0.2">
      <c r="A48" s="312"/>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row>
    <row r="49" spans="1:28" ht="15.75" customHeight="1" x14ac:dyDescent="0.2">
      <c r="A49" s="312"/>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row>
    <row r="50" spans="1:28" ht="15.75" customHeight="1" x14ac:dyDescent="0.2">
      <c r="A50" s="312"/>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row>
    <row r="51" spans="1:28" ht="15.75" customHeight="1" x14ac:dyDescent="0.2">
      <c r="A51" s="312"/>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row>
    <row r="52" spans="1:28" ht="15.75" customHeight="1" x14ac:dyDescent="0.2">
      <c r="A52" s="312"/>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row>
    <row r="53" spans="1:28" ht="15.75" customHeight="1" x14ac:dyDescent="0.2">
      <c r="A53" s="312"/>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row>
    <row r="54" spans="1:28" ht="15.75" customHeight="1" x14ac:dyDescent="0.2">
      <c r="A54" s="312"/>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row>
    <row r="55" spans="1:28" ht="15.75" customHeight="1" x14ac:dyDescent="0.2">
      <c r="A55" s="312"/>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row>
    <row r="56" spans="1:28" ht="15.75" customHeight="1" x14ac:dyDescent="0.2">
      <c r="A56" s="312"/>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row>
    <row r="57" spans="1:28" ht="15.75" customHeight="1" x14ac:dyDescent="0.2">
      <c r="A57" s="312"/>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row>
    <row r="58" spans="1:28" ht="15.75" customHeight="1" x14ac:dyDescent="0.2">
      <c r="A58" s="312"/>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row>
    <row r="59" spans="1:28" ht="15.75" customHeight="1" x14ac:dyDescent="0.2">
      <c r="A59" s="312"/>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row>
    <row r="60" spans="1:28" ht="15.75" customHeight="1" x14ac:dyDescent="0.2">
      <c r="A60" s="312"/>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row>
    <row r="61" spans="1:28" ht="15.75" customHeight="1" x14ac:dyDescent="0.2">
      <c r="A61" s="312"/>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row>
    <row r="62" spans="1:28" ht="15.75" customHeight="1" x14ac:dyDescent="0.2">
      <c r="A62" s="312"/>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row>
    <row r="63" spans="1:28" ht="15.75" customHeight="1" x14ac:dyDescent="0.2">
      <c r="A63" s="312"/>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row>
    <row r="64" spans="1:28" ht="15.75" customHeight="1" x14ac:dyDescent="0.2">
      <c r="A64" s="312"/>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row>
    <row r="65" spans="1:28" ht="15.75" customHeight="1" x14ac:dyDescent="0.2">
      <c r="A65" s="312"/>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row>
    <row r="66" spans="1:28" ht="15.75" customHeight="1" x14ac:dyDescent="0.2">
      <c r="A66" s="312"/>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row>
    <row r="67" spans="1:28" ht="15.75" customHeight="1" x14ac:dyDescent="0.2">
      <c r="A67" s="312"/>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row>
    <row r="68" spans="1:28" ht="15.75" customHeight="1" x14ac:dyDescent="0.2">
      <c r="A68" s="312"/>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row>
    <row r="69" spans="1:28" ht="15.75" customHeight="1" x14ac:dyDescent="0.2">
      <c r="A69" s="312"/>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row>
    <row r="70" spans="1:28" ht="15.75" customHeight="1" x14ac:dyDescent="0.2">
      <c r="A70" s="312"/>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row>
    <row r="71" spans="1:28" ht="15.75" customHeight="1" x14ac:dyDescent="0.2">
      <c r="A71" s="312"/>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row>
    <row r="72" spans="1:28" ht="15.75" customHeight="1" x14ac:dyDescent="0.2">
      <c r="A72" s="312"/>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row>
    <row r="73" spans="1:28" ht="15.75" customHeight="1" x14ac:dyDescent="0.2">
      <c r="A73" s="312"/>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row>
    <row r="74" spans="1:28" ht="15.75" customHeight="1" x14ac:dyDescent="0.2">
      <c r="A74" s="312"/>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row>
    <row r="75" spans="1:28" ht="15.75" customHeight="1" x14ac:dyDescent="0.2">
      <c r="A75" s="312"/>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row>
    <row r="76" spans="1:28" ht="15.75" customHeight="1" x14ac:dyDescent="0.2">
      <c r="A76" s="312"/>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row>
    <row r="77" spans="1:28" ht="15.75" customHeight="1" x14ac:dyDescent="0.2">
      <c r="A77" s="312"/>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row>
    <row r="78" spans="1:28" ht="15.75" customHeight="1" x14ac:dyDescent="0.2">
      <c r="A78" s="312"/>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row>
    <row r="79" spans="1:28" ht="15.75" customHeight="1" x14ac:dyDescent="0.2">
      <c r="A79" s="312"/>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row>
    <row r="80" spans="1:28" ht="15.75" customHeight="1" x14ac:dyDescent="0.2">
      <c r="A80" s="312"/>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row>
    <row r="81" spans="1:28" ht="15.75" customHeight="1" x14ac:dyDescent="0.2">
      <c r="A81" s="312"/>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row>
    <row r="82" spans="1:28" ht="15.75" customHeight="1" x14ac:dyDescent="0.2">
      <c r="A82" s="312"/>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row>
    <row r="83" spans="1:28" ht="15.75" customHeight="1" x14ac:dyDescent="0.2">
      <c r="A83" s="312"/>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row>
    <row r="84" spans="1:28" ht="15.75" customHeight="1" x14ac:dyDescent="0.2">
      <c r="A84" s="312"/>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row>
    <row r="85" spans="1:28" ht="15.75" customHeight="1" x14ac:dyDescent="0.2">
      <c r="A85" s="312"/>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row>
    <row r="86" spans="1:28" ht="15.75" customHeight="1" x14ac:dyDescent="0.2">
      <c r="A86" s="312"/>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row>
    <row r="87" spans="1:28" ht="15.75" customHeight="1" x14ac:dyDescent="0.2">
      <c r="A87" s="312"/>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row>
    <row r="88" spans="1:28" ht="15.75" customHeight="1" x14ac:dyDescent="0.2">
      <c r="A88" s="312"/>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row>
    <row r="89" spans="1:28" ht="15.75" customHeight="1" x14ac:dyDescent="0.2">
      <c r="A89" s="312"/>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row>
    <row r="90" spans="1:28" ht="15.75" customHeight="1" x14ac:dyDescent="0.2">
      <c r="A90" s="312"/>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row>
    <row r="91" spans="1:28" ht="15.75" customHeight="1" x14ac:dyDescent="0.2">
      <c r="A91" s="312"/>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row>
    <row r="92" spans="1:28" ht="15.75" customHeight="1" x14ac:dyDescent="0.2">
      <c r="A92" s="312"/>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row>
    <row r="93" spans="1:28" ht="15.75" customHeight="1" x14ac:dyDescent="0.2">
      <c r="A93" s="312"/>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row>
    <row r="94" spans="1:28" ht="15.75" customHeight="1" x14ac:dyDescent="0.2">
      <c r="A94" s="312"/>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row>
    <row r="95" spans="1:28" ht="15.75" customHeight="1" x14ac:dyDescent="0.2">
      <c r="A95" s="312"/>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row>
    <row r="96" spans="1:28" ht="15.75" customHeight="1" x14ac:dyDescent="0.2">
      <c r="A96" s="312"/>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row>
    <row r="97" spans="1:28" ht="15.75" customHeight="1" x14ac:dyDescent="0.2">
      <c r="A97" s="312"/>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row>
    <row r="98" spans="1:28" ht="15.75" customHeight="1" x14ac:dyDescent="0.2">
      <c r="A98" s="312"/>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row>
    <row r="99" spans="1:28" ht="15.75" customHeight="1" x14ac:dyDescent="0.2">
      <c r="A99" s="312"/>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row>
    <row r="100" spans="1:28" ht="15.75" customHeight="1" x14ac:dyDescent="0.2">
      <c r="A100" s="312"/>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row>
    <row r="101" spans="1:28" ht="15.75" customHeight="1" x14ac:dyDescent="0.2">
      <c r="A101" s="312"/>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row>
    <row r="102" spans="1:28" ht="15.75" customHeight="1" x14ac:dyDescent="0.2">
      <c r="A102" s="312"/>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row>
    <row r="103" spans="1:28" ht="15.75" customHeight="1" x14ac:dyDescent="0.2">
      <c r="A103" s="312"/>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row>
    <row r="104" spans="1:28" ht="15.75" customHeight="1" x14ac:dyDescent="0.2">
      <c r="A104" s="312"/>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row>
    <row r="105" spans="1:28" ht="15.75" customHeight="1" x14ac:dyDescent="0.2">
      <c r="A105" s="312"/>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row>
    <row r="106" spans="1:28" ht="15.75" customHeight="1" x14ac:dyDescent="0.2">
      <c r="A106" s="312"/>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row>
    <row r="107" spans="1:28" ht="15.75" customHeight="1" x14ac:dyDescent="0.2">
      <c r="A107" s="312"/>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row>
    <row r="108" spans="1:28" ht="15.75" customHeight="1" x14ac:dyDescent="0.2">
      <c r="A108" s="312"/>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row>
    <row r="109" spans="1:28" ht="15.75" customHeight="1" x14ac:dyDescent="0.2">
      <c r="A109" s="312"/>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row>
    <row r="110" spans="1:28" ht="15.75" customHeight="1" x14ac:dyDescent="0.2">
      <c r="A110" s="312"/>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row>
    <row r="111" spans="1:28" ht="15.75" customHeight="1" x14ac:dyDescent="0.2">
      <c r="A111" s="312"/>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row>
    <row r="112" spans="1:28" ht="15.75" customHeight="1" x14ac:dyDescent="0.2">
      <c r="A112" s="312"/>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row>
    <row r="113" spans="1:28" ht="15.75" customHeight="1" x14ac:dyDescent="0.2">
      <c r="A113" s="312"/>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row>
    <row r="114" spans="1:28" ht="15.75" customHeight="1" x14ac:dyDescent="0.2">
      <c r="A114" s="312"/>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row>
    <row r="115" spans="1:28" ht="15.75" customHeight="1" x14ac:dyDescent="0.2">
      <c r="A115" s="312"/>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row>
    <row r="116" spans="1:28" ht="15.75" customHeight="1" x14ac:dyDescent="0.2">
      <c r="A116" s="312"/>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row>
    <row r="117" spans="1:28" ht="15.75" customHeight="1" x14ac:dyDescent="0.2">
      <c r="A117" s="312"/>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row>
    <row r="118" spans="1:28" ht="15.75" customHeight="1" x14ac:dyDescent="0.2">
      <c r="A118" s="312"/>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row>
    <row r="119" spans="1:28" ht="15.75" customHeight="1" x14ac:dyDescent="0.2">
      <c r="A119" s="312"/>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row>
    <row r="120" spans="1:28" ht="15.75" customHeight="1" x14ac:dyDescent="0.2">
      <c r="A120" s="312"/>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c r="AA120" s="312"/>
      <c r="AB120" s="312"/>
    </row>
    <row r="121" spans="1:28" ht="15.75" customHeight="1" x14ac:dyDescent="0.2">
      <c r="A121" s="312"/>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row>
    <row r="122" spans="1:28" ht="15.75" customHeight="1" x14ac:dyDescent="0.2">
      <c r="A122" s="312"/>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row>
    <row r="123" spans="1:28" ht="15.75" customHeight="1" x14ac:dyDescent="0.2">
      <c r="A123" s="312"/>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312"/>
      <c r="X123" s="312"/>
      <c r="Y123" s="312"/>
      <c r="Z123" s="312"/>
      <c r="AA123" s="312"/>
      <c r="AB123" s="312"/>
    </row>
    <row r="124" spans="1:28" ht="15.75" customHeight="1" x14ac:dyDescent="0.2">
      <c r="A124" s="312"/>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row>
    <row r="125" spans="1:28" ht="15.75" customHeight="1" x14ac:dyDescent="0.2">
      <c r="A125" s="312"/>
      <c r="B125" s="312"/>
      <c r="C125" s="312"/>
      <c r="D125" s="312"/>
      <c r="E125" s="312"/>
      <c r="F125" s="312"/>
      <c r="G125" s="312"/>
      <c r="H125" s="312"/>
      <c r="I125" s="312"/>
      <c r="J125" s="312"/>
      <c r="K125" s="312"/>
      <c r="L125" s="312"/>
      <c r="M125" s="312"/>
      <c r="N125" s="312"/>
      <c r="O125" s="312"/>
      <c r="P125" s="312"/>
      <c r="Q125" s="312"/>
      <c r="R125" s="312"/>
      <c r="S125" s="312"/>
      <c r="T125" s="312"/>
      <c r="U125" s="312"/>
      <c r="V125" s="312"/>
      <c r="W125" s="312"/>
      <c r="X125" s="312"/>
      <c r="Y125" s="312"/>
      <c r="Z125" s="312"/>
      <c r="AA125" s="312"/>
      <c r="AB125" s="312"/>
    </row>
    <row r="126" spans="1:28" ht="15.75" customHeight="1" x14ac:dyDescent="0.2">
      <c r="A126" s="312"/>
      <c r="B126" s="312"/>
      <c r="C126" s="312"/>
      <c r="D126" s="312"/>
      <c r="E126" s="312"/>
      <c r="F126" s="312"/>
      <c r="G126" s="312"/>
      <c r="H126" s="312"/>
      <c r="I126" s="312"/>
      <c r="J126" s="312"/>
      <c r="K126" s="312"/>
      <c r="L126" s="312"/>
      <c r="M126" s="312"/>
      <c r="N126" s="312"/>
      <c r="O126" s="312"/>
      <c r="P126" s="312"/>
      <c r="Q126" s="312"/>
      <c r="R126" s="312"/>
      <c r="S126" s="312"/>
      <c r="T126" s="312"/>
      <c r="U126" s="312"/>
      <c r="V126" s="312"/>
      <c r="W126" s="312"/>
      <c r="X126" s="312"/>
      <c r="Y126" s="312"/>
      <c r="Z126" s="312"/>
      <c r="AA126" s="312"/>
      <c r="AB126" s="312"/>
    </row>
    <row r="127" spans="1:28" ht="15.75" customHeight="1" x14ac:dyDescent="0.2">
      <c r="A127" s="312"/>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c r="AA127" s="312"/>
      <c r="AB127" s="312"/>
    </row>
    <row r="128" spans="1:28" ht="15.75" customHeight="1" x14ac:dyDescent="0.2">
      <c r="A128" s="312"/>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c r="AA128" s="312"/>
      <c r="AB128" s="312"/>
    </row>
    <row r="129" spans="1:28" ht="15.75" customHeight="1" x14ac:dyDescent="0.2">
      <c r="A129" s="312"/>
      <c r="B129" s="312"/>
      <c r="C129" s="312"/>
      <c r="D129" s="312"/>
      <c r="E129" s="312"/>
      <c r="F129" s="312"/>
      <c r="G129" s="312"/>
      <c r="H129" s="312"/>
      <c r="I129" s="312"/>
      <c r="J129" s="312"/>
      <c r="K129" s="312"/>
      <c r="L129" s="312"/>
      <c r="M129" s="312"/>
      <c r="N129" s="312"/>
      <c r="O129" s="312"/>
      <c r="P129" s="312"/>
      <c r="Q129" s="312"/>
      <c r="R129" s="312"/>
      <c r="S129" s="312"/>
      <c r="T129" s="312"/>
      <c r="U129" s="312"/>
      <c r="V129" s="312"/>
      <c r="W129" s="312"/>
      <c r="X129" s="312"/>
      <c r="Y129" s="312"/>
      <c r="Z129" s="312"/>
      <c r="AA129" s="312"/>
      <c r="AB129" s="312"/>
    </row>
    <row r="130" spans="1:28" ht="15.75" customHeight="1" x14ac:dyDescent="0.2">
      <c r="A130" s="312"/>
      <c r="B130" s="312"/>
      <c r="C130" s="312"/>
      <c r="D130" s="312"/>
      <c r="E130" s="312"/>
      <c r="F130" s="312"/>
      <c r="G130" s="312"/>
      <c r="H130" s="312"/>
      <c r="I130" s="312"/>
      <c r="J130" s="312"/>
      <c r="K130" s="312"/>
      <c r="L130" s="312"/>
      <c r="M130" s="312"/>
      <c r="N130" s="312"/>
      <c r="O130" s="312"/>
      <c r="P130" s="312"/>
      <c r="Q130" s="312"/>
      <c r="R130" s="312"/>
      <c r="S130" s="312"/>
      <c r="T130" s="312"/>
      <c r="U130" s="312"/>
      <c r="V130" s="312"/>
      <c r="W130" s="312"/>
      <c r="X130" s="312"/>
      <c r="Y130" s="312"/>
      <c r="Z130" s="312"/>
      <c r="AA130" s="312"/>
      <c r="AB130" s="312"/>
    </row>
    <row r="131" spans="1:28" ht="15.75" customHeight="1" x14ac:dyDescent="0.2">
      <c r="A131" s="312"/>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c r="AA131" s="312"/>
      <c r="AB131" s="312"/>
    </row>
    <row r="132" spans="1:28" ht="15.75" customHeight="1" x14ac:dyDescent="0.2">
      <c r="A132" s="312"/>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row>
    <row r="133" spans="1:28" ht="15.75" customHeight="1" x14ac:dyDescent="0.2">
      <c r="A133" s="312"/>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row>
    <row r="134" spans="1:28" ht="15.75" customHeight="1" x14ac:dyDescent="0.2">
      <c r="A134" s="312"/>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c r="AA134" s="312"/>
      <c r="AB134" s="312"/>
    </row>
    <row r="135" spans="1:28" ht="15.75" customHeight="1" x14ac:dyDescent="0.2">
      <c r="A135" s="312"/>
      <c r="B135" s="312"/>
      <c r="C135" s="312"/>
      <c r="D135" s="312"/>
      <c r="E135" s="312"/>
      <c r="F135" s="312"/>
      <c r="G135" s="312"/>
      <c r="H135" s="312"/>
      <c r="I135" s="312"/>
      <c r="J135" s="312"/>
      <c r="K135" s="312"/>
      <c r="L135" s="312"/>
      <c r="M135" s="312"/>
      <c r="N135" s="312"/>
      <c r="O135" s="312"/>
      <c r="P135" s="312"/>
      <c r="Q135" s="312"/>
      <c r="R135" s="312"/>
      <c r="S135" s="312"/>
      <c r="T135" s="312"/>
      <c r="U135" s="312"/>
      <c r="V135" s="312"/>
      <c r="W135" s="312"/>
      <c r="X135" s="312"/>
      <c r="Y135" s="312"/>
      <c r="Z135" s="312"/>
      <c r="AA135" s="312"/>
      <c r="AB135" s="312"/>
    </row>
    <row r="136" spans="1:28" ht="15.75" customHeight="1" x14ac:dyDescent="0.2">
      <c r="A136" s="312"/>
      <c r="B136" s="312"/>
      <c r="C136" s="312"/>
      <c r="D136" s="312"/>
      <c r="E136" s="312"/>
      <c r="F136" s="312"/>
      <c r="G136" s="312"/>
      <c r="H136" s="312"/>
      <c r="I136" s="312"/>
      <c r="J136" s="312"/>
      <c r="K136" s="312"/>
      <c r="L136" s="312"/>
      <c r="M136" s="312"/>
      <c r="N136" s="312"/>
      <c r="O136" s="312"/>
      <c r="P136" s="312"/>
      <c r="Q136" s="312"/>
      <c r="R136" s="312"/>
      <c r="S136" s="312"/>
      <c r="T136" s="312"/>
      <c r="U136" s="312"/>
      <c r="V136" s="312"/>
      <c r="W136" s="312"/>
      <c r="X136" s="312"/>
      <c r="Y136" s="312"/>
      <c r="Z136" s="312"/>
      <c r="AA136" s="312"/>
      <c r="AB136" s="312"/>
    </row>
    <row r="137" spans="1:28" ht="15.75" customHeight="1" x14ac:dyDescent="0.2">
      <c r="A137" s="312"/>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c r="AA137" s="312"/>
      <c r="AB137" s="312"/>
    </row>
    <row r="138" spans="1:28" ht="15.75" customHeight="1" x14ac:dyDescent="0.2">
      <c r="A138" s="312"/>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c r="AA138" s="312"/>
      <c r="AB138" s="312"/>
    </row>
    <row r="139" spans="1:28" ht="15.75" customHeight="1" x14ac:dyDescent="0.2">
      <c r="A139" s="312"/>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312"/>
      <c r="X139" s="312"/>
      <c r="Y139" s="312"/>
      <c r="Z139" s="312"/>
      <c r="AA139" s="312"/>
      <c r="AB139" s="312"/>
    </row>
    <row r="140" spans="1:28" ht="15.75" customHeight="1" x14ac:dyDescent="0.2">
      <c r="A140" s="312"/>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row>
    <row r="141" spans="1:28" ht="15.75" customHeight="1" x14ac:dyDescent="0.2">
      <c r="A141" s="312"/>
      <c r="B141" s="312"/>
      <c r="C141" s="312"/>
      <c r="D141" s="312"/>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c r="AA141" s="312"/>
      <c r="AB141" s="312"/>
    </row>
    <row r="142" spans="1:28" ht="15.75" customHeight="1" x14ac:dyDescent="0.2">
      <c r="A142" s="312"/>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row>
    <row r="143" spans="1:28" ht="15.75" customHeight="1" x14ac:dyDescent="0.2">
      <c r="A143" s="312"/>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c r="AA143" s="312"/>
      <c r="AB143" s="312"/>
    </row>
    <row r="144" spans="1:28" ht="15.75" customHeight="1" x14ac:dyDescent="0.2">
      <c r="A144" s="312"/>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row>
    <row r="145" spans="1:28" ht="15.75" customHeight="1" x14ac:dyDescent="0.2">
      <c r="A145" s="312"/>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row>
    <row r="146" spans="1:28" ht="15.75" customHeight="1" x14ac:dyDescent="0.2">
      <c r="A146" s="312"/>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c r="AA146" s="312"/>
      <c r="AB146" s="312"/>
    </row>
    <row r="147" spans="1:28" ht="15.75" customHeight="1" x14ac:dyDescent="0.2">
      <c r="A147" s="312"/>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row>
    <row r="148" spans="1:28" ht="15.75" customHeight="1" x14ac:dyDescent="0.2">
      <c r="A148" s="312"/>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row>
    <row r="149" spans="1:28" ht="15.75" customHeight="1" x14ac:dyDescent="0.2">
      <c r="A149" s="312"/>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row>
    <row r="150" spans="1:28" ht="15.75" customHeight="1" x14ac:dyDescent="0.2">
      <c r="A150" s="312"/>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row>
    <row r="151" spans="1:28" ht="15.75" customHeight="1" x14ac:dyDescent="0.2">
      <c r="A151" s="312"/>
      <c r="B151" s="312"/>
      <c r="C151" s="312"/>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c r="AA151" s="312"/>
      <c r="AB151" s="312"/>
    </row>
    <row r="152" spans="1:28" ht="15.75" customHeight="1" x14ac:dyDescent="0.2">
      <c r="A152" s="312"/>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c r="AA152" s="312"/>
      <c r="AB152" s="312"/>
    </row>
    <row r="153" spans="1:28" ht="15.75" customHeight="1" x14ac:dyDescent="0.2">
      <c r="A153" s="312"/>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c r="AA153" s="312"/>
      <c r="AB153" s="312"/>
    </row>
    <row r="154" spans="1:28" ht="15.75" customHeight="1" x14ac:dyDescent="0.2">
      <c r="A154" s="312"/>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312"/>
      <c r="X154" s="312"/>
      <c r="Y154" s="312"/>
      <c r="Z154" s="312"/>
      <c r="AA154" s="312"/>
      <c r="AB154" s="312"/>
    </row>
    <row r="155" spans="1:28" ht="15.75" customHeight="1" x14ac:dyDescent="0.2">
      <c r="A155" s="312"/>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c r="AA155" s="312"/>
      <c r="AB155" s="312"/>
    </row>
    <row r="156" spans="1:28" ht="15.75" customHeight="1" x14ac:dyDescent="0.2">
      <c r="A156" s="312"/>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c r="AA156" s="312"/>
      <c r="AB156" s="312"/>
    </row>
    <row r="157" spans="1:28" ht="15.75" customHeight="1" x14ac:dyDescent="0.2">
      <c r="A157" s="312"/>
      <c r="B157" s="312"/>
      <c r="C157" s="312"/>
      <c r="D157" s="312"/>
      <c r="E157" s="312"/>
      <c r="F157" s="312"/>
      <c r="G157" s="312"/>
      <c r="H157" s="312"/>
      <c r="I157" s="312"/>
      <c r="J157" s="312"/>
      <c r="K157" s="312"/>
      <c r="L157" s="312"/>
      <c r="M157" s="312"/>
      <c r="N157" s="312"/>
      <c r="O157" s="312"/>
      <c r="P157" s="312"/>
      <c r="Q157" s="312"/>
      <c r="R157" s="312"/>
      <c r="S157" s="312"/>
      <c r="T157" s="312"/>
      <c r="U157" s="312"/>
      <c r="V157" s="312"/>
      <c r="W157" s="312"/>
      <c r="X157" s="312"/>
      <c r="Y157" s="312"/>
      <c r="Z157" s="312"/>
      <c r="AA157" s="312"/>
      <c r="AB157" s="312"/>
    </row>
    <row r="158" spans="1:28" ht="15.75" customHeight="1" x14ac:dyDescent="0.2">
      <c r="A158" s="312"/>
      <c r="B158" s="312"/>
      <c r="C158" s="312"/>
      <c r="D158" s="312"/>
      <c r="E158" s="312"/>
      <c r="F158" s="312"/>
      <c r="G158" s="312"/>
      <c r="H158" s="312"/>
      <c r="I158" s="312"/>
      <c r="J158" s="312"/>
      <c r="K158" s="312"/>
      <c r="L158" s="312"/>
      <c r="M158" s="312"/>
      <c r="N158" s="312"/>
      <c r="O158" s="312"/>
      <c r="P158" s="312"/>
      <c r="Q158" s="312"/>
      <c r="R158" s="312"/>
      <c r="S158" s="312"/>
      <c r="T158" s="312"/>
      <c r="U158" s="312"/>
      <c r="V158" s="312"/>
      <c r="W158" s="312"/>
      <c r="X158" s="312"/>
      <c r="Y158" s="312"/>
      <c r="Z158" s="312"/>
      <c r="AA158" s="312"/>
      <c r="AB158" s="312"/>
    </row>
    <row r="159" spans="1:28" ht="15.75" customHeight="1" x14ac:dyDescent="0.2">
      <c r="A159" s="312"/>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c r="AA159" s="312"/>
      <c r="AB159" s="312"/>
    </row>
    <row r="160" spans="1:28" ht="15.75" customHeight="1" x14ac:dyDescent="0.2">
      <c r="A160" s="312"/>
      <c r="B160" s="312"/>
      <c r="C160" s="312"/>
      <c r="D160" s="312"/>
      <c r="E160" s="312"/>
      <c r="F160" s="312"/>
      <c r="G160" s="312"/>
      <c r="H160" s="312"/>
      <c r="I160" s="312"/>
      <c r="J160" s="312"/>
      <c r="K160" s="312"/>
      <c r="L160" s="312"/>
      <c r="M160" s="312"/>
      <c r="N160" s="312"/>
      <c r="O160" s="312"/>
      <c r="P160" s="312"/>
      <c r="Q160" s="312"/>
      <c r="R160" s="312"/>
      <c r="S160" s="312"/>
      <c r="T160" s="312"/>
      <c r="U160" s="312"/>
      <c r="V160" s="312"/>
      <c r="W160" s="312"/>
      <c r="X160" s="312"/>
      <c r="Y160" s="312"/>
      <c r="Z160" s="312"/>
      <c r="AA160" s="312"/>
      <c r="AB160" s="312"/>
    </row>
    <row r="161" spans="1:28" ht="15.75" customHeight="1" x14ac:dyDescent="0.2">
      <c r="A161" s="312"/>
      <c r="B161" s="312"/>
      <c r="C161" s="312"/>
      <c r="D161" s="312"/>
      <c r="E161" s="312"/>
      <c r="F161" s="312"/>
      <c r="G161" s="312"/>
      <c r="H161" s="312"/>
      <c r="I161" s="312"/>
      <c r="J161" s="312"/>
      <c r="K161" s="312"/>
      <c r="L161" s="312"/>
      <c r="M161" s="312"/>
      <c r="N161" s="312"/>
      <c r="O161" s="312"/>
      <c r="P161" s="312"/>
      <c r="Q161" s="312"/>
      <c r="R161" s="312"/>
      <c r="S161" s="312"/>
      <c r="T161" s="312"/>
      <c r="U161" s="312"/>
      <c r="V161" s="312"/>
      <c r="W161" s="312"/>
      <c r="X161" s="312"/>
      <c r="Y161" s="312"/>
      <c r="Z161" s="312"/>
      <c r="AA161" s="312"/>
      <c r="AB161" s="312"/>
    </row>
    <row r="162" spans="1:28" ht="15.75" customHeight="1" x14ac:dyDescent="0.2">
      <c r="A162" s="312"/>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row>
    <row r="163" spans="1:28" ht="15.75" customHeight="1" x14ac:dyDescent="0.2">
      <c r="A163" s="312"/>
      <c r="B163" s="312"/>
      <c r="C163" s="312"/>
      <c r="D163" s="312"/>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c r="AA163" s="312"/>
      <c r="AB163" s="312"/>
    </row>
    <row r="164" spans="1:28" ht="15.75" customHeight="1" x14ac:dyDescent="0.2">
      <c r="A164" s="312"/>
      <c r="B164" s="312"/>
      <c r="C164" s="312"/>
      <c r="D164" s="312"/>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c r="AA164" s="312"/>
      <c r="AB164" s="312"/>
    </row>
    <row r="165" spans="1:28" ht="15.75" customHeight="1" x14ac:dyDescent="0.2">
      <c r="A165" s="312"/>
      <c r="B165" s="312"/>
      <c r="C165" s="312"/>
      <c r="D165" s="312"/>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c r="AA165" s="312"/>
      <c r="AB165" s="312"/>
    </row>
    <row r="166" spans="1:28" ht="15.75" customHeight="1" x14ac:dyDescent="0.2">
      <c r="A166" s="312"/>
      <c r="B166" s="312"/>
      <c r="C166" s="312"/>
      <c r="D166" s="312"/>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c r="AA166" s="312"/>
      <c r="AB166" s="312"/>
    </row>
    <row r="167" spans="1:28" ht="15.75" customHeight="1" x14ac:dyDescent="0.2">
      <c r="A167" s="312"/>
      <c r="B167" s="312"/>
      <c r="C167" s="312"/>
      <c r="D167" s="312"/>
      <c r="E167" s="312"/>
      <c r="F167" s="312"/>
      <c r="G167" s="312"/>
      <c r="H167" s="312"/>
      <c r="I167" s="312"/>
      <c r="J167" s="312"/>
      <c r="K167" s="312"/>
      <c r="L167" s="312"/>
      <c r="M167" s="312"/>
      <c r="N167" s="312"/>
      <c r="O167" s="312"/>
      <c r="P167" s="312"/>
      <c r="Q167" s="312"/>
      <c r="R167" s="312"/>
      <c r="S167" s="312"/>
      <c r="T167" s="312"/>
      <c r="U167" s="312"/>
      <c r="V167" s="312"/>
      <c r="W167" s="312"/>
      <c r="X167" s="312"/>
      <c r="Y167" s="312"/>
      <c r="Z167" s="312"/>
      <c r="AA167" s="312"/>
      <c r="AB167" s="312"/>
    </row>
    <row r="168" spans="1:28" ht="15.75" customHeight="1" x14ac:dyDescent="0.2">
      <c r="A168" s="312"/>
      <c r="B168" s="312"/>
      <c r="C168" s="312"/>
      <c r="D168" s="312"/>
      <c r="E168" s="312"/>
      <c r="F168" s="312"/>
      <c r="G168" s="312"/>
      <c r="H168" s="312"/>
      <c r="I168" s="312"/>
      <c r="J168" s="312"/>
      <c r="K168" s="312"/>
      <c r="L168" s="312"/>
      <c r="M168" s="312"/>
      <c r="N168" s="312"/>
      <c r="O168" s="312"/>
      <c r="P168" s="312"/>
      <c r="Q168" s="312"/>
      <c r="R168" s="312"/>
      <c r="S168" s="312"/>
      <c r="T168" s="312"/>
      <c r="U168" s="312"/>
      <c r="V168" s="312"/>
      <c r="W168" s="312"/>
      <c r="X168" s="312"/>
      <c r="Y168" s="312"/>
      <c r="Z168" s="312"/>
      <c r="AA168" s="312"/>
      <c r="AB168" s="312"/>
    </row>
    <row r="169" spans="1:28" ht="15.75" customHeight="1" x14ac:dyDescent="0.2">
      <c r="A169" s="312"/>
      <c r="B169" s="312"/>
      <c r="C169" s="312"/>
      <c r="D169" s="312"/>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c r="AA169" s="312"/>
      <c r="AB169" s="312"/>
    </row>
    <row r="170" spans="1:28" ht="15.75" customHeight="1" x14ac:dyDescent="0.2">
      <c r="A170" s="312"/>
      <c r="B170" s="312"/>
      <c r="C170" s="312"/>
      <c r="D170" s="312"/>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c r="AA170" s="312"/>
      <c r="AB170" s="312"/>
    </row>
    <row r="171" spans="1:28" ht="15.75" customHeight="1" x14ac:dyDescent="0.2">
      <c r="A171" s="312"/>
      <c r="B171" s="312"/>
      <c r="C171" s="312"/>
      <c r="D171" s="312"/>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c r="AA171" s="312"/>
      <c r="AB171" s="312"/>
    </row>
    <row r="172" spans="1:28" ht="15.75" customHeight="1" x14ac:dyDescent="0.2">
      <c r="A172" s="312"/>
      <c r="B172" s="312"/>
      <c r="C172" s="312"/>
      <c r="D172" s="312"/>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c r="AA172" s="312"/>
      <c r="AB172" s="312"/>
    </row>
    <row r="173" spans="1:28" ht="15.75" customHeight="1" x14ac:dyDescent="0.2">
      <c r="A173" s="312"/>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c r="AA173" s="312"/>
      <c r="AB173" s="312"/>
    </row>
    <row r="174" spans="1:28" ht="15.75" customHeight="1" x14ac:dyDescent="0.2">
      <c r="A174" s="312"/>
      <c r="B174" s="312"/>
      <c r="C174" s="312"/>
      <c r="D174" s="312"/>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2"/>
      <c r="AB174" s="312"/>
    </row>
    <row r="175" spans="1:28" ht="15.75" customHeight="1" x14ac:dyDescent="0.2">
      <c r="A175" s="312"/>
      <c r="B175" s="312"/>
      <c r="C175" s="312"/>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2"/>
      <c r="AB175" s="312"/>
    </row>
    <row r="176" spans="1:28" ht="15.75" customHeight="1" x14ac:dyDescent="0.2">
      <c r="A176" s="312"/>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2"/>
      <c r="AB176" s="312"/>
    </row>
    <row r="177" spans="1:28" ht="15.75" customHeight="1" x14ac:dyDescent="0.2">
      <c r="A177" s="312"/>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2"/>
      <c r="AB177" s="312"/>
    </row>
    <row r="178" spans="1:28" ht="15.75" customHeight="1" x14ac:dyDescent="0.2">
      <c r="A178" s="312"/>
      <c r="B178" s="312"/>
      <c r="C178" s="312"/>
      <c r="D178" s="312"/>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2"/>
      <c r="AB178" s="312"/>
    </row>
    <row r="179" spans="1:28" ht="15.75" customHeight="1" x14ac:dyDescent="0.2">
      <c r="A179" s="312"/>
      <c r="B179" s="312"/>
      <c r="C179" s="312"/>
      <c r="D179" s="312"/>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c r="AA179" s="312"/>
      <c r="AB179" s="312"/>
    </row>
    <row r="180" spans="1:28" ht="15.75" customHeight="1" x14ac:dyDescent="0.2">
      <c r="A180" s="312"/>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row>
    <row r="181" spans="1:28" ht="15.75" customHeight="1" x14ac:dyDescent="0.2">
      <c r="A181" s="312"/>
      <c r="B181" s="312"/>
      <c r="C181" s="312"/>
      <c r="D181" s="312"/>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c r="AA181" s="312"/>
      <c r="AB181" s="312"/>
    </row>
    <row r="182" spans="1:28" ht="15.75" customHeight="1" x14ac:dyDescent="0.2">
      <c r="A182" s="312"/>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312"/>
    </row>
    <row r="183" spans="1:28" ht="15.75" customHeight="1" x14ac:dyDescent="0.2">
      <c r="A183" s="312"/>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312"/>
    </row>
    <row r="184" spans="1:28" ht="15.75" customHeight="1" x14ac:dyDescent="0.2">
      <c r="A184" s="312"/>
      <c r="B184" s="312"/>
      <c r="C184" s="312"/>
      <c r="D184" s="312"/>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c r="AA184" s="312"/>
      <c r="AB184" s="312"/>
    </row>
    <row r="185" spans="1:28" ht="15.75" customHeight="1" x14ac:dyDescent="0.2">
      <c r="A185" s="312"/>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312"/>
    </row>
    <row r="186" spans="1:28" ht="15.75" customHeight="1" x14ac:dyDescent="0.2">
      <c r="A186" s="312"/>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312"/>
    </row>
    <row r="187" spans="1:28" ht="15.75" customHeight="1" x14ac:dyDescent="0.2">
      <c r="A187" s="312"/>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row>
    <row r="188" spans="1:28" ht="15.75" customHeight="1" x14ac:dyDescent="0.2">
      <c r="A188" s="312"/>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c r="AA188" s="312"/>
      <c r="AB188" s="312"/>
    </row>
    <row r="189" spans="1:28" ht="15.75" customHeight="1" x14ac:dyDescent="0.2">
      <c r="A189" s="312"/>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row>
    <row r="190" spans="1:28" ht="15.75" customHeight="1" x14ac:dyDescent="0.2">
      <c r="A190" s="312"/>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row>
    <row r="191" spans="1:28" ht="15.75" customHeight="1" x14ac:dyDescent="0.2">
      <c r="A191" s="312"/>
      <c r="B191" s="312"/>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row>
    <row r="192" spans="1:28" ht="15.75" customHeight="1" x14ac:dyDescent="0.2">
      <c r="A192" s="312"/>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2"/>
      <c r="AB192" s="312"/>
    </row>
    <row r="193" spans="1:28" ht="15.75" customHeight="1" x14ac:dyDescent="0.2">
      <c r="A193" s="312"/>
      <c r="B193" s="312"/>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2"/>
      <c r="AB193" s="312"/>
    </row>
    <row r="194" spans="1:28" ht="15.75" customHeight="1" x14ac:dyDescent="0.2">
      <c r="A194" s="312"/>
      <c r="B194" s="312"/>
      <c r="C194" s="312"/>
      <c r="D194" s="312"/>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2"/>
      <c r="AB194" s="312"/>
    </row>
    <row r="195" spans="1:28" ht="15.75" customHeight="1" x14ac:dyDescent="0.2">
      <c r="A195" s="312"/>
      <c r="B195" s="312"/>
      <c r="C195" s="312"/>
      <c r="D195" s="312"/>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2"/>
      <c r="AB195" s="312"/>
    </row>
    <row r="196" spans="1:28" ht="15.75" customHeight="1" x14ac:dyDescent="0.2">
      <c r="A196" s="312"/>
      <c r="B196" s="312"/>
      <c r="C196" s="312"/>
      <c r="D196" s="312"/>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2"/>
      <c r="AB196" s="312"/>
    </row>
    <row r="197" spans="1:28" ht="15.75" customHeight="1" x14ac:dyDescent="0.2">
      <c r="A197" s="312"/>
      <c r="B197" s="312"/>
      <c r="C197" s="312"/>
      <c r="D197" s="312"/>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2"/>
      <c r="AB197" s="312"/>
    </row>
    <row r="198" spans="1:28" ht="15.75" customHeight="1" x14ac:dyDescent="0.2">
      <c r="A198" s="312"/>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2"/>
      <c r="AB198" s="312"/>
    </row>
    <row r="199" spans="1:28" ht="15.75" customHeight="1" x14ac:dyDescent="0.2">
      <c r="A199" s="312"/>
      <c r="B199" s="312"/>
      <c r="C199" s="312"/>
      <c r="D199" s="312"/>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2"/>
      <c r="AB199" s="312"/>
    </row>
    <row r="200" spans="1:28" ht="15.75" customHeight="1" x14ac:dyDescent="0.2">
      <c r="A200" s="312"/>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2"/>
      <c r="AB200" s="312"/>
    </row>
    <row r="201" spans="1:28" ht="15.75" customHeight="1" x14ac:dyDescent="0.2">
      <c r="A201" s="312"/>
      <c r="B201" s="312"/>
      <c r="C201" s="312"/>
      <c r="D201" s="312"/>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2"/>
      <c r="AB201" s="312"/>
    </row>
    <row r="202" spans="1:28" ht="15.75" customHeight="1" x14ac:dyDescent="0.2">
      <c r="A202" s="312"/>
      <c r="B202" s="312"/>
      <c r="C202" s="312"/>
      <c r="D202" s="312"/>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2"/>
      <c r="AB202" s="312"/>
    </row>
    <row r="203" spans="1:28" ht="15.75" customHeight="1" x14ac:dyDescent="0.2">
      <c r="A203" s="312"/>
      <c r="B203" s="312"/>
      <c r="C203" s="312"/>
      <c r="D203" s="312"/>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2"/>
      <c r="AB203" s="312"/>
    </row>
    <row r="204" spans="1:28" ht="15.75" customHeight="1" x14ac:dyDescent="0.2">
      <c r="A204" s="312"/>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2"/>
      <c r="AB204" s="312"/>
    </row>
    <row r="205" spans="1:28" ht="15.75" customHeight="1" x14ac:dyDescent="0.2">
      <c r="A205" s="312"/>
      <c r="B205" s="312"/>
      <c r="C205" s="312"/>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2"/>
      <c r="AB205" s="312"/>
    </row>
    <row r="206" spans="1:28" ht="15.75" customHeight="1" x14ac:dyDescent="0.2">
      <c r="A206" s="312"/>
      <c r="B206" s="312"/>
      <c r="C206" s="312"/>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2"/>
      <c r="AB206" s="312"/>
    </row>
    <row r="207" spans="1:28" ht="15.75" customHeight="1" x14ac:dyDescent="0.2">
      <c r="A207" s="312"/>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2"/>
      <c r="AB207" s="312"/>
    </row>
    <row r="208" spans="1:28" ht="15.75" customHeight="1" x14ac:dyDescent="0.2">
      <c r="A208" s="312"/>
      <c r="B208" s="312"/>
      <c r="C208" s="312"/>
      <c r="D208" s="312"/>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2"/>
      <c r="AB208" s="312"/>
    </row>
    <row r="209" spans="1:28" ht="15.75" customHeight="1" x14ac:dyDescent="0.2">
      <c r="A209" s="270"/>
      <c r="B209" s="270"/>
      <c r="C209" s="270"/>
      <c r="D209" s="270"/>
      <c r="E209" s="270"/>
      <c r="F209" s="270"/>
      <c r="G209" s="270"/>
      <c r="H209" s="270"/>
      <c r="I209" s="270"/>
      <c r="J209" s="270"/>
      <c r="K209" s="270"/>
      <c r="L209" s="270"/>
      <c r="M209" s="270"/>
      <c r="N209" s="312"/>
      <c r="O209" s="312"/>
      <c r="P209" s="312"/>
      <c r="Q209" s="312"/>
      <c r="R209" s="312"/>
      <c r="S209" s="312"/>
      <c r="T209" s="312"/>
      <c r="U209" s="312"/>
      <c r="V209" s="312"/>
      <c r="W209" s="312"/>
      <c r="X209" s="312"/>
      <c r="Y209" s="312"/>
      <c r="Z209" s="312"/>
      <c r="AA209" s="312"/>
      <c r="AB209" s="312"/>
    </row>
    <row r="210" spans="1:28" ht="15.75" customHeight="1" x14ac:dyDescent="0.2">
      <c r="A210" s="270"/>
      <c r="B210" s="270"/>
      <c r="C210" s="270"/>
      <c r="D210" s="270"/>
      <c r="E210" s="270"/>
      <c r="F210" s="270"/>
      <c r="G210" s="270"/>
      <c r="H210" s="270"/>
      <c r="I210" s="270"/>
      <c r="J210" s="270"/>
      <c r="K210" s="270"/>
      <c r="L210" s="270"/>
      <c r="M210" s="270"/>
      <c r="N210" s="312"/>
      <c r="O210" s="312"/>
      <c r="P210" s="312"/>
      <c r="Q210" s="312"/>
      <c r="R210" s="312"/>
      <c r="S210" s="312"/>
      <c r="T210" s="312"/>
      <c r="U210" s="312"/>
      <c r="V210" s="312"/>
      <c r="W210" s="312"/>
      <c r="X210" s="312"/>
      <c r="Y210" s="312"/>
      <c r="Z210" s="312"/>
      <c r="AA210" s="312"/>
      <c r="AB210" s="312"/>
    </row>
    <row r="211" spans="1:28" ht="15.75" customHeight="1" x14ac:dyDescent="0.2">
      <c r="A211" s="270"/>
      <c r="B211" s="270"/>
      <c r="C211" s="270"/>
      <c r="D211" s="270"/>
      <c r="E211" s="270"/>
      <c r="F211" s="270"/>
      <c r="G211" s="270"/>
      <c r="H211" s="270"/>
      <c r="I211" s="270"/>
      <c r="J211" s="270"/>
      <c r="K211" s="270"/>
      <c r="L211" s="270"/>
      <c r="M211" s="270"/>
      <c r="N211" s="312"/>
      <c r="O211" s="312"/>
      <c r="P211" s="312"/>
      <c r="Q211" s="312"/>
      <c r="R211" s="312"/>
      <c r="S211" s="312"/>
      <c r="T211" s="312"/>
      <c r="U211" s="312"/>
      <c r="V211" s="312"/>
      <c r="W211" s="312"/>
      <c r="X211" s="312"/>
      <c r="Y211" s="312"/>
      <c r="Z211" s="312"/>
      <c r="AA211" s="312"/>
      <c r="AB211" s="312"/>
    </row>
    <row r="212" spans="1:28" ht="15.75" customHeight="1" x14ac:dyDescent="0.2">
      <c r="A212" s="270"/>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row>
    <row r="213" spans="1:28" ht="15.75" customHeight="1" x14ac:dyDescent="0.2">
      <c r="A213" s="270"/>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row>
    <row r="214" spans="1:28" ht="15.75" customHeight="1" x14ac:dyDescent="0.2">
      <c r="A214" s="270"/>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row>
    <row r="215" spans="1:28" ht="15.75" customHeight="1" x14ac:dyDescent="0.2">
      <c r="A215" s="270"/>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row>
    <row r="216" spans="1:28" ht="15.75" customHeight="1" x14ac:dyDescent="0.2">
      <c r="A216" s="270"/>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row>
    <row r="217" spans="1:28" ht="15.75" customHeight="1" x14ac:dyDescent="0.2">
      <c r="A217" s="270"/>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row>
    <row r="218" spans="1:28" ht="15.75" customHeight="1" x14ac:dyDescent="0.2">
      <c r="A218" s="270"/>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c r="AB218" s="270"/>
    </row>
    <row r="219" spans="1:28" ht="15.75" customHeight="1" x14ac:dyDescent="0.2">
      <c r="A219" s="270"/>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row>
    <row r="220" spans="1:28" ht="15.75" customHeight="1" x14ac:dyDescent="0.2">
      <c r="A220" s="270"/>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row>
    <row r="221" spans="1:28" ht="14.25" customHeight="1" x14ac:dyDescent="0.2">
      <c r="A221" s="270"/>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row>
    <row r="222" spans="1:28" ht="14.25" customHeight="1" x14ac:dyDescent="0.2">
      <c r="A222" s="270"/>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row>
    <row r="223" spans="1:28" ht="14.25" customHeight="1" x14ac:dyDescent="0.2">
      <c r="A223" s="270"/>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row>
    <row r="224" spans="1:28" ht="14.25" customHeight="1" x14ac:dyDescent="0.2">
      <c r="A224" s="270"/>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row>
    <row r="225" spans="1:28" ht="14.25" customHeight="1" x14ac:dyDescent="0.2">
      <c r="A225" s="270"/>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row>
    <row r="226" spans="1:28" ht="14.25" customHeight="1" x14ac:dyDescent="0.2">
      <c r="A226" s="270"/>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row>
    <row r="227" spans="1:28" ht="14.25" customHeight="1" x14ac:dyDescent="0.2">
      <c r="A227" s="270"/>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row>
    <row r="228" spans="1:28" ht="14.25" customHeight="1" x14ac:dyDescent="0.2">
      <c r="A228" s="270"/>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row>
    <row r="229" spans="1:28" ht="14.25" customHeight="1" x14ac:dyDescent="0.2">
      <c r="A229" s="270"/>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row>
    <row r="230" spans="1:28" ht="14.25" customHeight="1" x14ac:dyDescent="0.2">
      <c r="A230" s="270"/>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row>
    <row r="231" spans="1:28" ht="14.25" customHeight="1" x14ac:dyDescent="0.2">
      <c r="A231" s="270"/>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row>
    <row r="232" spans="1:28" ht="14.25" customHeight="1" x14ac:dyDescent="0.2">
      <c r="A232" s="270"/>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row>
    <row r="233" spans="1:28" ht="14.25" customHeight="1" x14ac:dyDescent="0.2">
      <c r="A233" s="270"/>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row>
    <row r="234" spans="1:28" ht="14.25" customHeight="1" x14ac:dyDescent="0.2">
      <c r="A234" s="270"/>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row>
    <row r="235" spans="1:28" ht="14.25" customHeight="1" x14ac:dyDescent="0.2">
      <c r="A235" s="270"/>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row>
    <row r="236" spans="1:28" ht="14.25" customHeight="1" x14ac:dyDescent="0.2">
      <c r="A236" s="270"/>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row>
    <row r="237" spans="1:28" ht="14.25" customHeight="1" x14ac:dyDescent="0.2">
      <c r="A237" s="270"/>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row>
    <row r="238" spans="1:28" ht="14.25" customHeight="1" x14ac:dyDescent="0.2">
      <c r="A238" s="270"/>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row>
    <row r="239" spans="1:28" ht="14.25" customHeight="1" x14ac:dyDescent="0.2">
      <c r="A239" s="270"/>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row>
    <row r="240" spans="1:28" ht="14.25" customHeight="1" x14ac:dyDescent="0.2">
      <c r="A240" s="270"/>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row>
    <row r="241" spans="1:28" ht="14.25" customHeight="1" x14ac:dyDescent="0.2">
      <c r="A241" s="270"/>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row>
    <row r="242" spans="1:28" ht="14.25" customHeight="1" x14ac:dyDescent="0.2">
      <c r="A242" s="270"/>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row>
    <row r="243" spans="1:28" ht="14.25" customHeight="1" x14ac:dyDescent="0.2">
      <c r="A243" s="270"/>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row>
    <row r="244" spans="1:28" ht="14.25" customHeight="1" x14ac:dyDescent="0.2">
      <c r="A244" s="270"/>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row>
    <row r="245" spans="1:28" ht="14.25" customHeight="1" x14ac:dyDescent="0.2">
      <c r="A245" s="270"/>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row>
    <row r="246" spans="1:28" ht="14.25" customHeight="1" x14ac:dyDescent="0.2">
      <c r="A246" s="270"/>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row>
    <row r="247" spans="1:28" ht="14.25" customHeight="1" x14ac:dyDescent="0.2">
      <c r="A247" s="270"/>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row>
    <row r="248" spans="1:28" ht="14.25" customHeight="1" x14ac:dyDescent="0.2">
      <c r="A248" s="270"/>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row>
    <row r="249" spans="1:28" ht="14.25" customHeight="1" x14ac:dyDescent="0.2">
      <c r="A249" s="270"/>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row>
    <row r="250" spans="1:28" ht="14.25" customHeight="1" x14ac:dyDescent="0.2">
      <c r="A250" s="270"/>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row>
    <row r="251" spans="1:28" ht="14.25" customHeight="1" x14ac:dyDescent="0.2">
      <c r="A251" s="270"/>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row>
    <row r="252" spans="1:28" ht="14.25" customHeight="1" x14ac:dyDescent="0.2">
      <c r="A252" s="270"/>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row>
    <row r="253" spans="1:28" ht="14.25" customHeight="1" x14ac:dyDescent="0.2">
      <c r="A253" s="270"/>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row>
    <row r="254" spans="1:28" ht="14.25" customHeight="1" x14ac:dyDescent="0.2">
      <c r="A254" s="270"/>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row>
    <row r="255" spans="1:28" ht="14.25" customHeight="1" x14ac:dyDescent="0.2">
      <c r="A255" s="270"/>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row>
    <row r="256" spans="1:28" ht="14.25" customHeight="1" x14ac:dyDescent="0.2">
      <c r="A256" s="270"/>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row>
    <row r="257" spans="1:28" ht="14.25" customHeight="1" x14ac:dyDescent="0.2">
      <c r="A257" s="270"/>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row>
    <row r="258" spans="1:28" ht="14.25" customHeight="1" x14ac:dyDescent="0.2">
      <c r="A258" s="270"/>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row>
    <row r="259" spans="1:28" ht="14.25" customHeight="1" x14ac:dyDescent="0.2">
      <c r="A259" s="270"/>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row>
    <row r="260" spans="1:28" ht="14.25" customHeight="1" x14ac:dyDescent="0.2">
      <c r="A260" s="270"/>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row>
    <row r="261" spans="1:28" ht="14.25" customHeight="1" x14ac:dyDescent="0.2">
      <c r="A261" s="270"/>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row>
    <row r="262" spans="1:28" ht="14.25" customHeight="1" x14ac:dyDescent="0.2">
      <c r="A262" s="270"/>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row>
    <row r="263" spans="1:28" ht="14.25" customHeight="1" x14ac:dyDescent="0.2">
      <c r="A263" s="270"/>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row>
    <row r="264" spans="1:28" ht="14.25" customHeight="1" x14ac:dyDescent="0.2">
      <c r="A264" s="270"/>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row>
    <row r="265" spans="1:28" ht="14.25" customHeight="1" x14ac:dyDescent="0.2">
      <c r="A265" s="270"/>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row>
    <row r="266" spans="1:28" ht="14.25" customHeight="1" x14ac:dyDescent="0.2">
      <c r="A266" s="270"/>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row>
    <row r="267" spans="1:28" ht="14.25" customHeight="1" x14ac:dyDescent="0.2">
      <c r="A267" s="270"/>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row>
    <row r="268" spans="1:28" ht="14.25" customHeight="1" x14ac:dyDescent="0.2">
      <c r="A268" s="270"/>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row>
    <row r="269" spans="1:28" ht="14.25" customHeight="1" x14ac:dyDescent="0.2">
      <c r="A269" s="270"/>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row>
    <row r="270" spans="1:28" ht="14.25" customHeight="1" x14ac:dyDescent="0.2">
      <c r="A270" s="270"/>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row>
    <row r="271" spans="1:28" ht="14.25" customHeight="1" x14ac:dyDescent="0.2">
      <c r="A271" s="270"/>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row>
    <row r="272" spans="1:28" ht="14.25" customHeight="1" x14ac:dyDescent="0.2">
      <c r="A272" s="270"/>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row>
    <row r="273" spans="1:28" ht="14.25" customHeight="1" x14ac:dyDescent="0.2">
      <c r="A273" s="270"/>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row>
    <row r="274" spans="1:28" ht="14.25" customHeight="1" x14ac:dyDescent="0.2">
      <c r="A274" s="270"/>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row>
    <row r="275" spans="1:28" ht="14.25" customHeight="1" x14ac:dyDescent="0.2">
      <c r="A275" s="270"/>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row>
    <row r="276" spans="1:28" ht="14.25" customHeight="1" x14ac:dyDescent="0.2">
      <c r="A276" s="270"/>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row>
    <row r="277" spans="1:28" ht="14.25" customHeight="1" x14ac:dyDescent="0.2">
      <c r="A277" s="270"/>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row>
    <row r="278" spans="1:28" ht="14.25" customHeight="1" x14ac:dyDescent="0.2">
      <c r="A278" s="270"/>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row>
    <row r="279" spans="1:28" ht="14.25" customHeight="1" x14ac:dyDescent="0.2">
      <c r="A279" s="270"/>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row>
    <row r="280" spans="1:28" ht="14.25" customHeight="1" x14ac:dyDescent="0.2">
      <c r="A280" s="270"/>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row>
    <row r="281" spans="1:28" ht="14.25" customHeight="1" x14ac:dyDescent="0.2">
      <c r="A281" s="270"/>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row>
    <row r="282" spans="1:28" ht="14.25" customHeight="1" x14ac:dyDescent="0.2">
      <c r="A282" s="270"/>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row>
    <row r="283" spans="1:28" ht="14.25" customHeight="1" x14ac:dyDescent="0.2">
      <c r="A283" s="270"/>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row>
    <row r="284" spans="1:28" ht="14.25" customHeight="1" x14ac:dyDescent="0.2">
      <c r="A284" s="270"/>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row>
    <row r="285" spans="1:28" ht="14.25" customHeight="1" x14ac:dyDescent="0.2">
      <c r="A285" s="270"/>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row>
    <row r="286" spans="1:28" ht="14.25" customHeight="1" x14ac:dyDescent="0.2">
      <c r="A286" s="270"/>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row>
    <row r="287" spans="1:28" ht="14.25" customHeight="1" x14ac:dyDescent="0.2">
      <c r="A287" s="270"/>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row>
    <row r="288" spans="1:28" ht="14.25" customHeight="1" x14ac:dyDescent="0.2">
      <c r="A288" s="270"/>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row>
    <row r="289" spans="1:28" ht="14.25" customHeight="1" x14ac:dyDescent="0.2">
      <c r="A289" s="270"/>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row>
    <row r="290" spans="1:28" ht="14.25" customHeight="1" x14ac:dyDescent="0.2">
      <c r="A290" s="270"/>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row>
    <row r="291" spans="1:28" ht="14.25" customHeight="1" x14ac:dyDescent="0.2">
      <c r="A291" s="270"/>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row>
    <row r="292" spans="1:28" ht="14.25" customHeight="1" x14ac:dyDescent="0.2">
      <c r="A292" s="270"/>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row>
    <row r="293" spans="1:28" ht="14.25" customHeight="1" x14ac:dyDescent="0.2">
      <c r="A293" s="270"/>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row>
    <row r="294" spans="1:28" ht="14.25" customHeight="1" x14ac:dyDescent="0.2">
      <c r="A294" s="270"/>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row>
    <row r="295" spans="1:28" ht="14.25" customHeight="1" x14ac:dyDescent="0.2">
      <c r="A295" s="270"/>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row>
    <row r="296" spans="1:28" ht="14.25" customHeight="1" x14ac:dyDescent="0.2">
      <c r="A296" s="270"/>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row>
    <row r="297" spans="1:28" ht="14.25" customHeight="1" x14ac:dyDescent="0.2">
      <c r="A297" s="270"/>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row>
    <row r="298" spans="1:28" ht="14.25" customHeight="1" x14ac:dyDescent="0.2">
      <c r="A298" s="270"/>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row>
    <row r="299" spans="1:28" ht="14.25" customHeight="1" x14ac:dyDescent="0.2">
      <c r="A299" s="270"/>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row>
    <row r="300" spans="1:28" ht="14.25" customHeight="1" x14ac:dyDescent="0.2">
      <c r="A300" s="270"/>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row>
    <row r="301" spans="1:28" ht="14.25" customHeight="1" x14ac:dyDescent="0.2">
      <c r="A301" s="270"/>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row>
    <row r="302" spans="1:28" ht="14.25" customHeight="1" x14ac:dyDescent="0.2">
      <c r="A302" s="270"/>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row>
    <row r="303" spans="1:28" ht="14.25" customHeight="1" x14ac:dyDescent="0.2">
      <c r="A303" s="270"/>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row>
    <row r="304" spans="1:28" ht="14.25" customHeight="1" x14ac:dyDescent="0.2">
      <c r="A304" s="270"/>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row>
    <row r="305" spans="1:28" ht="14.25" customHeight="1" x14ac:dyDescent="0.2">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row>
    <row r="306" spans="1:28" ht="14.25" customHeight="1" x14ac:dyDescent="0.2">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row>
    <row r="307" spans="1:28" ht="14.25" customHeight="1" x14ac:dyDescent="0.2">
      <c r="A307" s="270"/>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row>
    <row r="308" spans="1:28" ht="14.25" customHeight="1" x14ac:dyDescent="0.2">
      <c r="A308" s="270"/>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row>
    <row r="309" spans="1:28" ht="14.25" customHeight="1" x14ac:dyDescent="0.2">
      <c r="A309" s="270"/>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row>
    <row r="310" spans="1:28" ht="14.25" customHeight="1" x14ac:dyDescent="0.2">
      <c r="A310" s="270"/>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row>
    <row r="311" spans="1:28" ht="14.25" customHeight="1" x14ac:dyDescent="0.2">
      <c r="A311" s="270"/>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row>
    <row r="312" spans="1:28" ht="14.25" customHeight="1" x14ac:dyDescent="0.2">
      <c r="A312" s="270"/>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row>
    <row r="313" spans="1:28" ht="14.25" customHeight="1" x14ac:dyDescent="0.2">
      <c r="A313" s="270"/>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row>
    <row r="314" spans="1:28" ht="14.25" customHeight="1" x14ac:dyDescent="0.2">
      <c r="A314" s="270"/>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row>
    <row r="315" spans="1:28" ht="14.25" customHeight="1" x14ac:dyDescent="0.2">
      <c r="A315" s="270"/>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row>
    <row r="316" spans="1:28" ht="14.25" customHeight="1" x14ac:dyDescent="0.2">
      <c r="A316" s="270"/>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row>
    <row r="317" spans="1:28" ht="14.25" customHeight="1" x14ac:dyDescent="0.2">
      <c r="A317" s="270"/>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row>
    <row r="318" spans="1:28" ht="14.25" customHeight="1" x14ac:dyDescent="0.2">
      <c r="A318" s="270"/>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row>
    <row r="319" spans="1:28" ht="14.25" customHeight="1" x14ac:dyDescent="0.2">
      <c r="A319" s="270"/>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row>
    <row r="320" spans="1:28" ht="14.25" customHeight="1" x14ac:dyDescent="0.2">
      <c r="A320" s="270"/>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row>
    <row r="321" spans="1:28" ht="14.25" customHeight="1" x14ac:dyDescent="0.2">
      <c r="A321" s="270"/>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row>
    <row r="322" spans="1:28" ht="14.25" customHeight="1" x14ac:dyDescent="0.2">
      <c r="A322" s="270"/>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row>
    <row r="323" spans="1:28" ht="14.25" customHeight="1" x14ac:dyDescent="0.2">
      <c r="A323" s="270"/>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row>
    <row r="324" spans="1:28" ht="14.25" customHeight="1" x14ac:dyDescent="0.2">
      <c r="A324" s="270"/>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row>
    <row r="325" spans="1:28" ht="14.25" customHeight="1" x14ac:dyDescent="0.2">
      <c r="A325" s="270"/>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row>
    <row r="326" spans="1:28" ht="14.25" customHeight="1" x14ac:dyDescent="0.2">
      <c r="A326" s="270"/>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row>
    <row r="327" spans="1:28" ht="14.25" customHeight="1" x14ac:dyDescent="0.2">
      <c r="A327" s="270"/>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row>
    <row r="328" spans="1:28" ht="14.25" customHeight="1" x14ac:dyDescent="0.2">
      <c r="A328" s="270"/>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row>
    <row r="329" spans="1:28" ht="14.25" customHeight="1" x14ac:dyDescent="0.2">
      <c r="A329" s="270"/>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row>
    <row r="330" spans="1:28" ht="14.25" customHeight="1" x14ac:dyDescent="0.2">
      <c r="A330" s="270"/>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row>
    <row r="331" spans="1:28" ht="14.25" customHeight="1" x14ac:dyDescent="0.2">
      <c r="A331" s="270"/>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row>
    <row r="332" spans="1:28" ht="14.25" customHeight="1" x14ac:dyDescent="0.2">
      <c r="A332" s="270"/>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row>
    <row r="333" spans="1:28" ht="14.25" customHeight="1" x14ac:dyDescent="0.2">
      <c r="A333" s="270"/>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row>
    <row r="334" spans="1:28" ht="14.25" customHeight="1" x14ac:dyDescent="0.2">
      <c r="A334" s="270"/>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row>
    <row r="335" spans="1:28" ht="14.25" customHeight="1" x14ac:dyDescent="0.2">
      <c r="A335" s="270"/>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row>
    <row r="336" spans="1:28" ht="14.25" customHeight="1" x14ac:dyDescent="0.2">
      <c r="A336" s="270"/>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row>
    <row r="337" spans="1:28" ht="14.25" customHeight="1" x14ac:dyDescent="0.2">
      <c r="A337" s="270"/>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row>
    <row r="338" spans="1:28" ht="14.25" customHeight="1" x14ac:dyDescent="0.2">
      <c r="A338" s="270"/>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row>
    <row r="339" spans="1:28" ht="14.25" customHeight="1" x14ac:dyDescent="0.2">
      <c r="A339" s="270"/>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row>
    <row r="340" spans="1:28" ht="14.25" customHeight="1" x14ac:dyDescent="0.2">
      <c r="A340" s="270"/>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row>
    <row r="341" spans="1:28" ht="14.25" customHeight="1" x14ac:dyDescent="0.2">
      <c r="A341" s="270"/>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row>
    <row r="342" spans="1:28" ht="14.25" customHeight="1" x14ac:dyDescent="0.2">
      <c r="A342" s="270"/>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row>
    <row r="343" spans="1:28" ht="14.25" customHeight="1" x14ac:dyDescent="0.2">
      <c r="A343" s="270"/>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row>
    <row r="344" spans="1:28" ht="14.25" customHeight="1" x14ac:dyDescent="0.2">
      <c r="A344" s="270"/>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row>
    <row r="345" spans="1:28" ht="14.25" customHeight="1" x14ac:dyDescent="0.2">
      <c r="A345" s="270"/>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row>
    <row r="346" spans="1:28" ht="14.25" customHeight="1" x14ac:dyDescent="0.2">
      <c r="A346" s="270"/>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row>
    <row r="347" spans="1:28" ht="14.25" customHeight="1" x14ac:dyDescent="0.2">
      <c r="A347" s="270"/>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row>
    <row r="348" spans="1:28" ht="14.25" customHeight="1" x14ac:dyDescent="0.2">
      <c r="A348" s="270"/>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row>
    <row r="349" spans="1:28" ht="14.25" customHeight="1" x14ac:dyDescent="0.2">
      <c r="A349" s="270"/>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row>
    <row r="350" spans="1:28" ht="14.25" customHeight="1" x14ac:dyDescent="0.2">
      <c r="A350" s="270"/>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row>
    <row r="351" spans="1:28" ht="14.25" customHeight="1" x14ac:dyDescent="0.2">
      <c r="A351" s="270"/>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row>
    <row r="352" spans="1:28" ht="14.25" customHeight="1" x14ac:dyDescent="0.2">
      <c r="A352" s="270"/>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row>
    <row r="353" spans="1:28" ht="14.25" customHeight="1" x14ac:dyDescent="0.2">
      <c r="A353" s="270"/>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row>
    <row r="354" spans="1:28" ht="14.25" customHeight="1" x14ac:dyDescent="0.2">
      <c r="A354" s="270"/>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row>
    <row r="355" spans="1:28" ht="14.25" customHeight="1" x14ac:dyDescent="0.2">
      <c r="A355" s="270"/>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row>
    <row r="356" spans="1:28" ht="14.25" customHeight="1" x14ac:dyDescent="0.2">
      <c r="A356" s="270"/>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row>
    <row r="357" spans="1:28" ht="14.25" customHeight="1" x14ac:dyDescent="0.2">
      <c r="A357" s="270"/>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row>
    <row r="358" spans="1:28" ht="14.25" customHeight="1" x14ac:dyDescent="0.2">
      <c r="A358" s="270"/>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row>
    <row r="359" spans="1:28" ht="14.25" customHeight="1" x14ac:dyDescent="0.2">
      <c r="A359" s="270"/>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row>
    <row r="360" spans="1:28" ht="14.25" customHeight="1" x14ac:dyDescent="0.2">
      <c r="A360" s="270"/>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row>
    <row r="361" spans="1:28" ht="14.25" customHeight="1" x14ac:dyDescent="0.2">
      <c r="A361" s="270"/>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row>
    <row r="362" spans="1:28" ht="14.25" customHeight="1" x14ac:dyDescent="0.2">
      <c r="A362" s="270"/>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row>
    <row r="363" spans="1:28" ht="14.25" customHeight="1" x14ac:dyDescent="0.2">
      <c r="A363" s="270"/>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row>
    <row r="364" spans="1:28" ht="14.25" customHeight="1" x14ac:dyDescent="0.2">
      <c r="A364" s="270"/>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row>
    <row r="365" spans="1:28" ht="14.25" customHeight="1" x14ac:dyDescent="0.2">
      <c r="A365" s="270"/>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row>
    <row r="366" spans="1:28" ht="14.25" customHeight="1" x14ac:dyDescent="0.2">
      <c r="A366" s="270"/>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row>
    <row r="367" spans="1:28" ht="14.25" customHeight="1" x14ac:dyDescent="0.2">
      <c r="A367" s="270"/>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row>
    <row r="368" spans="1:28" ht="14.25" customHeight="1" x14ac:dyDescent="0.2">
      <c r="A368" s="270"/>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row>
    <row r="369" spans="1:28" ht="14.25" customHeight="1" x14ac:dyDescent="0.2">
      <c r="A369" s="270"/>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row>
    <row r="370" spans="1:28" ht="14.25" customHeight="1" x14ac:dyDescent="0.2">
      <c r="A370" s="270"/>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row>
    <row r="371" spans="1:28" ht="14.25" customHeight="1" x14ac:dyDescent="0.2">
      <c r="A371" s="270"/>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row>
    <row r="372" spans="1:28" ht="14.25" customHeight="1" x14ac:dyDescent="0.2">
      <c r="A372" s="270"/>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row>
    <row r="373" spans="1:28" ht="14.25" customHeight="1" x14ac:dyDescent="0.2">
      <c r="A373" s="270"/>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row>
    <row r="374" spans="1:28" ht="14.25" customHeight="1" x14ac:dyDescent="0.2">
      <c r="A374" s="270"/>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row>
    <row r="375" spans="1:28" ht="14.25" customHeight="1" x14ac:dyDescent="0.2">
      <c r="A375" s="270"/>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row>
    <row r="376" spans="1:28" ht="14.25" customHeight="1" x14ac:dyDescent="0.2">
      <c r="A376" s="270"/>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row>
    <row r="377" spans="1:28" ht="14.25" customHeight="1" x14ac:dyDescent="0.2">
      <c r="A377" s="270"/>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row>
    <row r="378" spans="1:28" ht="14.25" customHeight="1" x14ac:dyDescent="0.2">
      <c r="A378" s="270"/>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row>
    <row r="379" spans="1:28" ht="14.25" customHeight="1" x14ac:dyDescent="0.2">
      <c r="A379" s="270"/>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row>
    <row r="380" spans="1:28" ht="14.25" customHeight="1" x14ac:dyDescent="0.2">
      <c r="A380" s="270"/>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row>
    <row r="381" spans="1:28" ht="14.25" customHeight="1" x14ac:dyDescent="0.2">
      <c r="A381" s="270"/>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row>
    <row r="382" spans="1:28" ht="14.25" customHeight="1" x14ac:dyDescent="0.2">
      <c r="A382" s="270"/>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row>
    <row r="383" spans="1:28" ht="14.25" customHeight="1" x14ac:dyDescent="0.2">
      <c r="A383" s="270"/>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row>
    <row r="384" spans="1:28" ht="14.25" customHeight="1" x14ac:dyDescent="0.2">
      <c r="A384" s="270"/>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row>
    <row r="385" spans="1:28" ht="14.25" customHeight="1" x14ac:dyDescent="0.2">
      <c r="A385" s="270"/>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row>
    <row r="386" spans="1:28" ht="14.25" customHeight="1" x14ac:dyDescent="0.2">
      <c r="A386" s="270"/>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row>
    <row r="387" spans="1:28" ht="14.25" customHeight="1" x14ac:dyDescent="0.2">
      <c r="A387" s="270"/>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row>
    <row r="388" spans="1:28" ht="14.25" customHeight="1" x14ac:dyDescent="0.2">
      <c r="A388" s="270"/>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row>
    <row r="389" spans="1:28" ht="14.25" customHeight="1" x14ac:dyDescent="0.2">
      <c r="A389" s="270"/>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row>
    <row r="390" spans="1:28" ht="14.25" customHeight="1" x14ac:dyDescent="0.2">
      <c r="A390" s="270"/>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c r="AB390" s="270"/>
    </row>
    <row r="391" spans="1:28" ht="14.25" customHeight="1" x14ac:dyDescent="0.2">
      <c r="A391" s="270"/>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row>
    <row r="392" spans="1:28" ht="14.25" customHeight="1" x14ac:dyDescent="0.2">
      <c r="A392" s="270"/>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c r="AA392" s="270"/>
      <c r="AB392" s="270"/>
    </row>
    <row r="393" spans="1:28" ht="14.25" customHeight="1" x14ac:dyDescent="0.2">
      <c r="A393" s="270"/>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row>
    <row r="394" spans="1:28" ht="14.25" customHeight="1" x14ac:dyDescent="0.2">
      <c r="A394" s="270"/>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row>
    <row r="395" spans="1:28" ht="14.25" customHeight="1" x14ac:dyDescent="0.2">
      <c r="A395" s="270"/>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row>
    <row r="396" spans="1:28" ht="14.25" customHeight="1" x14ac:dyDescent="0.2">
      <c r="A396" s="270"/>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row>
    <row r="397" spans="1:28" ht="14.25" customHeight="1" x14ac:dyDescent="0.2">
      <c r="A397" s="270"/>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row>
    <row r="398" spans="1:28" ht="14.25" customHeight="1" x14ac:dyDescent="0.2">
      <c r="A398" s="270"/>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row>
    <row r="399" spans="1:28" ht="14.25" customHeight="1" x14ac:dyDescent="0.2">
      <c r="A399" s="270"/>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row>
    <row r="400" spans="1:28" ht="14.25" customHeight="1" x14ac:dyDescent="0.2">
      <c r="A400" s="270"/>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row>
    <row r="401" spans="1:28" ht="14.25" customHeight="1" x14ac:dyDescent="0.2">
      <c r="A401" s="270"/>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row>
    <row r="402" spans="1:28" ht="14.25" customHeight="1" x14ac:dyDescent="0.2">
      <c r="A402" s="270"/>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row>
    <row r="403" spans="1:28" ht="14.25" customHeight="1" x14ac:dyDescent="0.2">
      <c r="A403" s="270"/>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row>
    <row r="404" spans="1:28" ht="14.25" customHeight="1" x14ac:dyDescent="0.2">
      <c r="A404" s="270"/>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row>
    <row r="405" spans="1:28" ht="14.25" customHeight="1" x14ac:dyDescent="0.2">
      <c r="A405" s="270"/>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row>
    <row r="406" spans="1:28" ht="14.25" customHeight="1" x14ac:dyDescent="0.2">
      <c r="A406" s="270"/>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row>
    <row r="407" spans="1:28" ht="14.25" customHeight="1" x14ac:dyDescent="0.2">
      <c r="A407" s="270"/>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row>
    <row r="408" spans="1:28" ht="14.25" customHeight="1" x14ac:dyDescent="0.2">
      <c r="A408" s="270"/>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row>
    <row r="409" spans="1:28" ht="14.25" customHeight="1" x14ac:dyDescent="0.2">
      <c r="A409" s="270"/>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row>
    <row r="410" spans="1:28" ht="14.25" customHeight="1" x14ac:dyDescent="0.2">
      <c r="A410" s="270"/>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row>
    <row r="411" spans="1:28" ht="14.25" customHeight="1" x14ac:dyDescent="0.2">
      <c r="A411" s="270"/>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row>
    <row r="412" spans="1:28" ht="14.25" customHeight="1" x14ac:dyDescent="0.2">
      <c r="A412" s="270"/>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row>
    <row r="413" spans="1:28" ht="14.25" customHeight="1" x14ac:dyDescent="0.2">
      <c r="A413" s="270"/>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row>
    <row r="414" spans="1:28" ht="14.25" customHeight="1" x14ac:dyDescent="0.2">
      <c r="A414" s="270"/>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row>
    <row r="415" spans="1:28" ht="14.25" customHeight="1" x14ac:dyDescent="0.2">
      <c r="A415" s="270"/>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row>
    <row r="416" spans="1:28" ht="14.25" customHeight="1" x14ac:dyDescent="0.2">
      <c r="A416" s="270"/>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row>
    <row r="417" spans="1:28" ht="14.25" customHeight="1" x14ac:dyDescent="0.2">
      <c r="A417" s="270"/>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row>
    <row r="418" spans="1:28" ht="14.25" customHeight="1" x14ac:dyDescent="0.2">
      <c r="A418" s="270"/>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row>
    <row r="419" spans="1:28" ht="14.25" customHeight="1" x14ac:dyDescent="0.2">
      <c r="A419" s="270"/>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row>
    <row r="420" spans="1:28" ht="14.25" customHeight="1" x14ac:dyDescent="0.2">
      <c r="A420" s="270"/>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row>
    <row r="421" spans="1:28" ht="14.25" customHeight="1" x14ac:dyDescent="0.2">
      <c r="A421" s="270"/>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row>
    <row r="422" spans="1:28" ht="14.25" customHeight="1" x14ac:dyDescent="0.2">
      <c r="A422" s="270"/>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row>
    <row r="423" spans="1:28" ht="14.25" customHeight="1" x14ac:dyDescent="0.2">
      <c r="A423" s="270"/>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row>
    <row r="424" spans="1:28" ht="14.25" customHeight="1" x14ac:dyDescent="0.2">
      <c r="A424" s="270"/>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row>
    <row r="425" spans="1:28" ht="14.25" customHeight="1" x14ac:dyDescent="0.2">
      <c r="A425" s="270"/>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row>
    <row r="426" spans="1:28" ht="14.25" customHeight="1" x14ac:dyDescent="0.2">
      <c r="A426" s="270"/>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row>
    <row r="427" spans="1:28" ht="14.25" customHeight="1" x14ac:dyDescent="0.2">
      <c r="A427" s="270"/>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row>
    <row r="428" spans="1:28" ht="14.25" customHeight="1" x14ac:dyDescent="0.2">
      <c r="A428" s="270"/>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row>
    <row r="429" spans="1:28" ht="14.25" customHeight="1" x14ac:dyDescent="0.2">
      <c r="A429" s="270"/>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row>
    <row r="430" spans="1:28" ht="14.25" customHeight="1" x14ac:dyDescent="0.2">
      <c r="A430" s="270"/>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row>
    <row r="431" spans="1:28" ht="14.25" customHeight="1" x14ac:dyDescent="0.2">
      <c r="A431" s="270"/>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row>
    <row r="432" spans="1:28" ht="14.25" customHeight="1" x14ac:dyDescent="0.2">
      <c r="A432" s="270"/>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row>
    <row r="433" spans="1:28" ht="14.25" customHeight="1" x14ac:dyDescent="0.2">
      <c r="A433" s="270"/>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row>
    <row r="434" spans="1:28" ht="14.25" customHeight="1" x14ac:dyDescent="0.2">
      <c r="A434" s="270"/>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row>
    <row r="435" spans="1:28" ht="14.25" customHeight="1" x14ac:dyDescent="0.2">
      <c r="A435" s="270"/>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row>
    <row r="436" spans="1:28" ht="14.25" customHeight="1" x14ac:dyDescent="0.2">
      <c r="A436" s="270"/>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row>
    <row r="437" spans="1:28" ht="14.25" customHeight="1" x14ac:dyDescent="0.2">
      <c r="A437" s="270"/>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row>
    <row r="438" spans="1:28" ht="14.25" customHeight="1" x14ac:dyDescent="0.2">
      <c r="A438" s="270"/>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row>
    <row r="439" spans="1:28" ht="14.25" customHeight="1" x14ac:dyDescent="0.2">
      <c r="A439" s="270"/>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row>
    <row r="440" spans="1:28" ht="14.25" customHeight="1" x14ac:dyDescent="0.2">
      <c r="A440" s="270"/>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row>
    <row r="441" spans="1:28" ht="14.25" customHeight="1" x14ac:dyDescent="0.2">
      <c r="A441" s="270"/>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row>
    <row r="442" spans="1:28" ht="14.25" customHeight="1" x14ac:dyDescent="0.2">
      <c r="A442" s="270"/>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row>
    <row r="443" spans="1:28" ht="14.25" customHeight="1" x14ac:dyDescent="0.2">
      <c r="A443" s="270"/>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row>
    <row r="444" spans="1:28" ht="14.25" customHeight="1" x14ac:dyDescent="0.2">
      <c r="A444" s="270"/>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row>
    <row r="445" spans="1:28" ht="14.25" customHeight="1" x14ac:dyDescent="0.2">
      <c r="A445" s="270"/>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row>
    <row r="446" spans="1:28" ht="14.25" customHeight="1" x14ac:dyDescent="0.2">
      <c r="A446" s="270"/>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row>
    <row r="447" spans="1:28" ht="14.25" customHeight="1" x14ac:dyDescent="0.2">
      <c r="A447" s="270"/>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row>
    <row r="448" spans="1:28" ht="14.25" customHeight="1" x14ac:dyDescent="0.2">
      <c r="A448" s="270"/>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row>
    <row r="449" spans="1:28" ht="14.25" customHeight="1" x14ac:dyDescent="0.2">
      <c r="A449" s="270"/>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row>
    <row r="450" spans="1:28" ht="14.25" customHeight="1" x14ac:dyDescent="0.2">
      <c r="A450" s="270"/>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row>
    <row r="451" spans="1:28" ht="14.25" customHeight="1" x14ac:dyDescent="0.2">
      <c r="A451" s="270"/>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row>
    <row r="452" spans="1:28" ht="14.25" customHeight="1" x14ac:dyDescent="0.2">
      <c r="A452" s="270"/>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row>
    <row r="453" spans="1:28" ht="14.25" customHeight="1" x14ac:dyDescent="0.2">
      <c r="A453" s="270"/>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c r="AB453" s="270"/>
    </row>
    <row r="454" spans="1:28" ht="14.25" customHeight="1" x14ac:dyDescent="0.2">
      <c r="A454" s="270"/>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row>
    <row r="455" spans="1:28" ht="14.25" customHeight="1" x14ac:dyDescent="0.2">
      <c r="A455" s="270"/>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c r="AA455" s="270"/>
      <c r="AB455" s="270"/>
    </row>
    <row r="456" spans="1:28" ht="14.25" customHeight="1" x14ac:dyDescent="0.2">
      <c r="A456" s="270"/>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c r="AA456" s="270"/>
      <c r="AB456" s="270"/>
    </row>
    <row r="457" spans="1:28" ht="14.25" customHeight="1" x14ac:dyDescent="0.2">
      <c r="A457" s="270"/>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row>
    <row r="458" spans="1:28" ht="14.25" customHeight="1" x14ac:dyDescent="0.2">
      <c r="A458" s="270"/>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row>
    <row r="459" spans="1:28" ht="14.25" customHeight="1" x14ac:dyDescent="0.2">
      <c r="A459" s="270"/>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row>
    <row r="460" spans="1:28" ht="14.25" customHeight="1" x14ac:dyDescent="0.2">
      <c r="A460" s="270"/>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row>
    <row r="461" spans="1:28" ht="14.25" customHeight="1" x14ac:dyDescent="0.2">
      <c r="A461" s="270"/>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row>
    <row r="462" spans="1:28" ht="14.25" customHeight="1" x14ac:dyDescent="0.2">
      <c r="A462" s="270"/>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row>
    <row r="463" spans="1:28" ht="14.25" customHeight="1" x14ac:dyDescent="0.2">
      <c r="A463" s="270"/>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row>
    <row r="464" spans="1:28" ht="14.25" customHeight="1" x14ac:dyDescent="0.2">
      <c r="A464" s="270"/>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row>
    <row r="465" spans="1:28" ht="14.25" customHeight="1" x14ac:dyDescent="0.2">
      <c r="A465" s="270"/>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row>
    <row r="466" spans="1:28" ht="14.25" customHeight="1" x14ac:dyDescent="0.2">
      <c r="A466" s="270"/>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row>
    <row r="467" spans="1:28" ht="14.25" customHeight="1" x14ac:dyDescent="0.2">
      <c r="A467" s="270"/>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row>
    <row r="468" spans="1:28" ht="14.25" customHeight="1" x14ac:dyDescent="0.2">
      <c r="A468" s="270"/>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row>
    <row r="469" spans="1:28" ht="14.25" customHeight="1" x14ac:dyDescent="0.2">
      <c r="A469" s="270"/>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row>
    <row r="470" spans="1:28" ht="14.25" customHeight="1" x14ac:dyDescent="0.2">
      <c r="A470" s="270"/>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row>
    <row r="471" spans="1:28" ht="14.25" customHeight="1" x14ac:dyDescent="0.2">
      <c r="A471" s="270"/>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row>
    <row r="472" spans="1:28" ht="14.25" customHeight="1" x14ac:dyDescent="0.2">
      <c r="A472" s="270"/>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row>
    <row r="473" spans="1:28" ht="14.25" customHeight="1" x14ac:dyDescent="0.2">
      <c r="A473" s="270"/>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row>
    <row r="474" spans="1:28" ht="14.25" customHeight="1" x14ac:dyDescent="0.2">
      <c r="A474" s="270"/>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row>
    <row r="475" spans="1:28" ht="14.25" customHeight="1" x14ac:dyDescent="0.2">
      <c r="A475" s="270"/>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row>
    <row r="476" spans="1:28" ht="14.25" customHeight="1" x14ac:dyDescent="0.2">
      <c r="A476" s="270"/>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row>
    <row r="477" spans="1:28" ht="14.25" customHeight="1" x14ac:dyDescent="0.2">
      <c r="A477" s="270"/>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row>
    <row r="478" spans="1:28" ht="14.25" customHeight="1" x14ac:dyDescent="0.2">
      <c r="A478" s="270"/>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row>
    <row r="479" spans="1:28" ht="14.25" customHeight="1" x14ac:dyDescent="0.2">
      <c r="A479" s="270"/>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row>
    <row r="480" spans="1:28" ht="14.25" customHeight="1" x14ac:dyDescent="0.2">
      <c r="A480" s="270"/>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row>
    <row r="481" spans="1:28" ht="14.25" customHeight="1" x14ac:dyDescent="0.2">
      <c r="A481" s="270"/>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c r="AA481" s="270"/>
      <c r="AB481" s="270"/>
    </row>
    <row r="482" spans="1:28" ht="14.25" customHeight="1" x14ac:dyDescent="0.2">
      <c r="A482" s="270"/>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row>
    <row r="483" spans="1:28" ht="14.25" customHeight="1" x14ac:dyDescent="0.2">
      <c r="A483" s="270"/>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row>
    <row r="484" spans="1:28" ht="14.25" customHeight="1" x14ac:dyDescent="0.2">
      <c r="A484" s="270"/>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row>
    <row r="485" spans="1:28" ht="14.25" customHeight="1" x14ac:dyDescent="0.2">
      <c r="A485" s="270"/>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row>
    <row r="486" spans="1:28" ht="14.25" customHeight="1" x14ac:dyDescent="0.2">
      <c r="A486" s="270"/>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row>
    <row r="487" spans="1:28" ht="14.25" customHeight="1" x14ac:dyDescent="0.2">
      <c r="A487" s="270"/>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row>
    <row r="488" spans="1:28" ht="14.25" customHeight="1" x14ac:dyDescent="0.2">
      <c r="A488" s="270"/>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row>
    <row r="489" spans="1:28" ht="14.25" customHeight="1" x14ac:dyDescent="0.2">
      <c r="A489" s="270"/>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row>
    <row r="490" spans="1:28" ht="14.25" customHeight="1" x14ac:dyDescent="0.2">
      <c r="A490" s="270"/>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row>
    <row r="491" spans="1:28" ht="14.25" customHeight="1" x14ac:dyDescent="0.2">
      <c r="A491" s="270"/>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row>
    <row r="492" spans="1:28" ht="14.25" customHeight="1" x14ac:dyDescent="0.2">
      <c r="A492" s="270"/>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row>
    <row r="493" spans="1:28" ht="14.25" customHeight="1" x14ac:dyDescent="0.2">
      <c r="A493" s="270"/>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row>
    <row r="494" spans="1:28" ht="14.25" customHeight="1" x14ac:dyDescent="0.2">
      <c r="A494" s="270"/>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row>
    <row r="495" spans="1:28" ht="14.25" customHeight="1" x14ac:dyDescent="0.2">
      <c r="A495" s="270"/>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row>
    <row r="496" spans="1:28" ht="14.25" customHeight="1" x14ac:dyDescent="0.2">
      <c r="A496" s="270"/>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row>
    <row r="497" spans="1:28" ht="14.25" customHeight="1" x14ac:dyDescent="0.2">
      <c r="A497" s="270"/>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row>
    <row r="498" spans="1:28" ht="14.25" customHeight="1" x14ac:dyDescent="0.2">
      <c r="A498" s="270"/>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row>
    <row r="499" spans="1:28" ht="14.25" customHeight="1" x14ac:dyDescent="0.2">
      <c r="A499" s="270"/>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row>
    <row r="500" spans="1:28" ht="14.25" customHeight="1" x14ac:dyDescent="0.2">
      <c r="A500" s="270"/>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c r="AA500" s="270"/>
      <c r="AB500" s="270"/>
    </row>
    <row r="501" spans="1:28" ht="14.25" customHeight="1" x14ac:dyDescent="0.2">
      <c r="A501" s="270"/>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row>
    <row r="502" spans="1:28" ht="14.25" customHeight="1" x14ac:dyDescent="0.2">
      <c r="A502" s="270"/>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row>
    <row r="503" spans="1:28" ht="14.25" customHeight="1" x14ac:dyDescent="0.2">
      <c r="A503" s="270"/>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row>
    <row r="504" spans="1:28" ht="14.25" customHeight="1" x14ac:dyDescent="0.2">
      <c r="A504" s="270"/>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row>
    <row r="505" spans="1:28" ht="14.25" customHeight="1" x14ac:dyDescent="0.2">
      <c r="A505" s="270"/>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row>
    <row r="506" spans="1:28" ht="14.25" customHeight="1" x14ac:dyDescent="0.2">
      <c r="A506" s="270"/>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row>
    <row r="507" spans="1:28" ht="14.25" customHeight="1" x14ac:dyDescent="0.2">
      <c r="A507" s="270"/>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row>
    <row r="508" spans="1:28" ht="14.25" customHeight="1" x14ac:dyDescent="0.2">
      <c r="A508" s="270"/>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row>
    <row r="509" spans="1:28" ht="14.25" customHeight="1" x14ac:dyDescent="0.2">
      <c r="A509" s="270"/>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row>
    <row r="510" spans="1:28" ht="14.25" customHeight="1" x14ac:dyDescent="0.2">
      <c r="A510" s="270"/>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row>
    <row r="511" spans="1:28" ht="14.25" customHeight="1" x14ac:dyDescent="0.2">
      <c r="A511" s="270"/>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row>
    <row r="512" spans="1:28" ht="14.25" customHeight="1" x14ac:dyDescent="0.2">
      <c r="A512" s="270"/>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row>
    <row r="513" spans="1:28" ht="14.25" customHeight="1" x14ac:dyDescent="0.2">
      <c r="A513" s="270"/>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row>
    <row r="514" spans="1:28" ht="14.25" customHeight="1" x14ac:dyDescent="0.2">
      <c r="A514" s="270"/>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c r="AA514" s="270"/>
      <c r="AB514" s="270"/>
    </row>
    <row r="515" spans="1:28" ht="14.25" customHeight="1" x14ac:dyDescent="0.2">
      <c r="A515" s="270"/>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row>
    <row r="516" spans="1:28" ht="14.25" customHeight="1" x14ac:dyDescent="0.2">
      <c r="A516" s="270"/>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row>
    <row r="517" spans="1:28" ht="14.25" customHeight="1" x14ac:dyDescent="0.2">
      <c r="A517" s="270"/>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row>
    <row r="518" spans="1:28" ht="14.25" customHeight="1" x14ac:dyDescent="0.2">
      <c r="A518" s="270"/>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row>
    <row r="519" spans="1:28" ht="14.25" customHeight="1" x14ac:dyDescent="0.2">
      <c r="A519" s="270"/>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row>
    <row r="520" spans="1:28" ht="14.25" customHeight="1" x14ac:dyDescent="0.2">
      <c r="A520" s="270"/>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row>
    <row r="521" spans="1:28" ht="14.25" customHeight="1" x14ac:dyDescent="0.2">
      <c r="A521" s="270"/>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row>
    <row r="522" spans="1:28" ht="14.25" customHeight="1" x14ac:dyDescent="0.2">
      <c r="A522" s="270"/>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row>
    <row r="523" spans="1:28" ht="14.25" customHeight="1" x14ac:dyDescent="0.2">
      <c r="A523" s="270"/>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row>
    <row r="524" spans="1:28" ht="14.25" customHeight="1" x14ac:dyDescent="0.2">
      <c r="A524" s="270"/>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row>
    <row r="525" spans="1:28" ht="14.25" customHeight="1" x14ac:dyDescent="0.2">
      <c r="A525" s="270"/>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row>
    <row r="526" spans="1:28" ht="14.25" customHeight="1" x14ac:dyDescent="0.2">
      <c r="A526" s="270"/>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row>
    <row r="527" spans="1:28" ht="14.25" customHeight="1" x14ac:dyDescent="0.2">
      <c r="A527" s="270"/>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row>
    <row r="528" spans="1:28" ht="14.25" customHeight="1" x14ac:dyDescent="0.2">
      <c r="A528" s="270"/>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row>
    <row r="529" spans="1:28" ht="14.25" customHeight="1" x14ac:dyDescent="0.2">
      <c r="A529" s="270"/>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row>
    <row r="530" spans="1:28" ht="14.25" customHeight="1" x14ac:dyDescent="0.2">
      <c r="A530" s="270"/>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row>
    <row r="531" spans="1:28" ht="14.25" customHeight="1" x14ac:dyDescent="0.2">
      <c r="A531" s="270"/>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row>
    <row r="532" spans="1:28" ht="14.25" customHeight="1" x14ac:dyDescent="0.2">
      <c r="A532" s="270"/>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row>
    <row r="533" spans="1:28" ht="14.25" customHeight="1" x14ac:dyDescent="0.2">
      <c r="A533" s="270"/>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row>
    <row r="534" spans="1:28" ht="14.25" customHeight="1" x14ac:dyDescent="0.2">
      <c r="A534" s="270"/>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row>
    <row r="535" spans="1:28" ht="14.25" customHeight="1" x14ac:dyDescent="0.2">
      <c r="A535" s="270"/>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row>
    <row r="536" spans="1:28" ht="14.25" customHeight="1" x14ac:dyDescent="0.2">
      <c r="A536" s="270"/>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row>
    <row r="537" spans="1:28" ht="14.25" customHeight="1" x14ac:dyDescent="0.2">
      <c r="A537" s="270"/>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row>
    <row r="538" spans="1:28" ht="14.25" customHeight="1" x14ac:dyDescent="0.2">
      <c r="A538" s="270"/>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row>
    <row r="539" spans="1:28" ht="14.25" customHeight="1" x14ac:dyDescent="0.2">
      <c r="A539" s="270"/>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row>
    <row r="540" spans="1:28" ht="14.25" customHeight="1" x14ac:dyDescent="0.2">
      <c r="A540" s="270"/>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row>
    <row r="541" spans="1:28" ht="14.25" customHeight="1" x14ac:dyDescent="0.2">
      <c r="A541" s="270"/>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row>
    <row r="542" spans="1:28" ht="14.25" customHeight="1" x14ac:dyDescent="0.2">
      <c r="A542" s="270"/>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row>
    <row r="543" spans="1:28" ht="14.25" customHeight="1" x14ac:dyDescent="0.2">
      <c r="A543" s="270"/>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row>
    <row r="544" spans="1:28" ht="14.25" customHeight="1" x14ac:dyDescent="0.2">
      <c r="A544" s="270"/>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row>
    <row r="545" spans="1:28" ht="14.25" customHeight="1" x14ac:dyDescent="0.2">
      <c r="A545" s="270"/>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row>
    <row r="546" spans="1:28" ht="14.25" customHeight="1" x14ac:dyDescent="0.2">
      <c r="A546" s="270"/>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row>
    <row r="547" spans="1:28" ht="14.25" customHeight="1" x14ac:dyDescent="0.2">
      <c r="A547" s="270"/>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row>
    <row r="548" spans="1:28" ht="14.25" customHeight="1" x14ac:dyDescent="0.2">
      <c r="A548" s="270"/>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row>
    <row r="549" spans="1:28" ht="14.25" customHeight="1" x14ac:dyDescent="0.2">
      <c r="A549" s="270"/>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c r="AA549" s="270"/>
      <c r="AB549" s="270"/>
    </row>
    <row r="550" spans="1:28" ht="14.25" customHeight="1" x14ac:dyDescent="0.2">
      <c r="A550" s="270"/>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row>
    <row r="551" spans="1:28" ht="14.25" customHeight="1" x14ac:dyDescent="0.2">
      <c r="A551" s="270"/>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row>
    <row r="552" spans="1:28" ht="14.25" customHeight="1" x14ac:dyDescent="0.2">
      <c r="A552" s="270"/>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row>
    <row r="553" spans="1:28" ht="14.25" customHeight="1" x14ac:dyDescent="0.2">
      <c r="A553" s="270"/>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row>
    <row r="554" spans="1:28" ht="14.25" customHeight="1" x14ac:dyDescent="0.2">
      <c r="A554" s="270"/>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row>
    <row r="555" spans="1:28" ht="14.25" customHeight="1" x14ac:dyDescent="0.2">
      <c r="A555" s="270"/>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row>
    <row r="556" spans="1:28" ht="14.25" customHeight="1" x14ac:dyDescent="0.2">
      <c r="A556" s="270"/>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row>
    <row r="557" spans="1:28" ht="14.25" customHeight="1" x14ac:dyDescent="0.2">
      <c r="A557" s="270"/>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row>
    <row r="558" spans="1:28" ht="14.25" customHeight="1" x14ac:dyDescent="0.2">
      <c r="A558" s="270"/>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row>
    <row r="559" spans="1:28" ht="14.25" customHeight="1" x14ac:dyDescent="0.2">
      <c r="A559" s="270"/>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row>
    <row r="560" spans="1:28" ht="14.25" customHeight="1" x14ac:dyDescent="0.2">
      <c r="A560" s="270"/>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row>
    <row r="561" spans="1:28" ht="14.25" customHeight="1" x14ac:dyDescent="0.2">
      <c r="A561" s="270"/>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row>
    <row r="562" spans="1:28" ht="14.25" customHeight="1" x14ac:dyDescent="0.2">
      <c r="A562" s="270"/>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row>
    <row r="563" spans="1:28" ht="14.25" customHeight="1" x14ac:dyDescent="0.2">
      <c r="A563" s="270"/>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row>
    <row r="564" spans="1:28" ht="14.25" customHeight="1" x14ac:dyDescent="0.2">
      <c r="A564" s="270"/>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row>
    <row r="565" spans="1:28" ht="14.25" customHeight="1" x14ac:dyDescent="0.2">
      <c r="A565" s="270"/>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row>
    <row r="566" spans="1:28" ht="14.25" customHeight="1" x14ac:dyDescent="0.2">
      <c r="A566" s="270"/>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row>
    <row r="567" spans="1:28" ht="14.25" customHeight="1" x14ac:dyDescent="0.2">
      <c r="A567" s="270"/>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row>
    <row r="568" spans="1:28" ht="14.25" customHeight="1" x14ac:dyDescent="0.2">
      <c r="A568" s="270"/>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row>
    <row r="569" spans="1:28" ht="14.25" customHeight="1" x14ac:dyDescent="0.2">
      <c r="A569" s="270"/>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row>
    <row r="570" spans="1:28" ht="14.25" customHeight="1" x14ac:dyDescent="0.2">
      <c r="A570" s="270"/>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row>
    <row r="571" spans="1:28" ht="14.25" customHeight="1" x14ac:dyDescent="0.2">
      <c r="A571" s="270"/>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row>
    <row r="572" spans="1:28" ht="14.25" customHeight="1" x14ac:dyDescent="0.2">
      <c r="A572" s="270"/>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c r="AA572" s="270"/>
      <c r="AB572" s="270"/>
    </row>
    <row r="573" spans="1:28" ht="14.25" customHeight="1" x14ac:dyDescent="0.2">
      <c r="A573" s="270"/>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row>
    <row r="574" spans="1:28" ht="14.25" customHeight="1" x14ac:dyDescent="0.2">
      <c r="A574" s="270"/>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row>
    <row r="575" spans="1:28" ht="14.25" customHeight="1" x14ac:dyDescent="0.2">
      <c r="A575" s="270"/>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row>
    <row r="576" spans="1:28" ht="14.25" customHeight="1" x14ac:dyDescent="0.2">
      <c r="A576" s="270"/>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row>
    <row r="577" spans="1:28" ht="14.25" customHeight="1" x14ac:dyDescent="0.2">
      <c r="A577" s="270"/>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row>
    <row r="578" spans="1:28" ht="14.25" customHeight="1" x14ac:dyDescent="0.2">
      <c r="A578" s="270"/>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row>
    <row r="579" spans="1:28" ht="14.25" customHeight="1" x14ac:dyDescent="0.2">
      <c r="A579" s="270"/>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row>
    <row r="580" spans="1:28" ht="14.25" customHeight="1" x14ac:dyDescent="0.2">
      <c r="A580" s="270"/>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row>
    <row r="581" spans="1:28" ht="14.25" customHeight="1" x14ac:dyDescent="0.2">
      <c r="A581" s="270"/>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row>
    <row r="582" spans="1:28" ht="14.25" customHeight="1" x14ac:dyDescent="0.2">
      <c r="A582" s="270"/>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row>
    <row r="583" spans="1:28" ht="14.25" customHeight="1" x14ac:dyDescent="0.2">
      <c r="A583" s="270"/>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row>
    <row r="584" spans="1:28" ht="14.25" customHeight="1" x14ac:dyDescent="0.2">
      <c r="A584" s="270"/>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c r="X584" s="270"/>
      <c r="Y584" s="270"/>
      <c r="Z584" s="270"/>
      <c r="AA584" s="270"/>
      <c r="AB584" s="270"/>
    </row>
    <row r="585" spans="1:28" ht="14.25" customHeight="1" x14ac:dyDescent="0.2">
      <c r="A585" s="270"/>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c r="AA585" s="270"/>
      <c r="AB585" s="270"/>
    </row>
    <row r="586" spans="1:28" ht="14.25" customHeight="1" x14ac:dyDescent="0.2">
      <c r="A586" s="270"/>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c r="AB586" s="270"/>
    </row>
    <row r="587" spans="1:28" ht="14.25" customHeight="1" x14ac:dyDescent="0.2">
      <c r="A587" s="270"/>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row>
    <row r="588" spans="1:28" ht="14.25" customHeight="1" x14ac:dyDescent="0.2">
      <c r="A588" s="270"/>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row>
    <row r="589" spans="1:28" ht="14.25" customHeight="1" x14ac:dyDescent="0.2">
      <c r="A589" s="270"/>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row>
    <row r="590" spans="1:28" ht="14.25" customHeight="1" x14ac:dyDescent="0.2">
      <c r="A590" s="270"/>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row>
    <row r="591" spans="1:28" ht="14.25" customHeight="1" x14ac:dyDescent="0.2">
      <c r="A591" s="270"/>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row>
    <row r="592" spans="1:28" ht="14.25" customHeight="1" x14ac:dyDescent="0.2">
      <c r="A592" s="270"/>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row>
    <row r="593" spans="1:28" ht="14.25" customHeight="1" x14ac:dyDescent="0.2">
      <c r="A593" s="270"/>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row>
    <row r="594" spans="1:28" ht="14.25" customHeight="1" x14ac:dyDescent="0.2">
      <c r="A594" s="270"/>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row>
    <row r="595" spans="1:28" ht="14.25" customHeight="1" x14ac:dyDescent="0.2">
      <c r="A595" s="270"/>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row>
    <row r="596" spans="1:28" ht="14.25" customHeight="1" x14ac:dyDescent="0.2">
      <c r="A596" s="270"/>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row>
    <row r="597" spans="1:28" ht="14.25" customHeight="1" x14ac:dyDescent="0.2">
      <c r="A597" s="270"/>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row>
    <row r="598" spans="1:28" ht="14.25" customHeight="1" x14ac:dyDescent="0.2">
      <c r="A598" s="270"/>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row>
    <row r="599" spans="1:28" ht="14.25" customHeight="1" x14ac:dyDescent="0.2">
      <c r="A599" s="270"/>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row>
    <row r="600" spans="1:28" ht="14.25" customHeight="1" x14ac:dyDescent="0.2">
      <c r="A600" s="270"/>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row>
    <row r="601" spans="1:28" ht="14.25" customHeight="1" x14ac:dyDescent="0.2">
      <c r="A601" s="270"/>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row>
    <row r="602" spans="1:28" ht="14.25" customHeight="1" x14ac:dyDescent="0.2">
      <c r="A602" s="270"/>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row>
    <row r="603" spans="1:28" ht="14.25" customHeight="1" x14ac:dyDescent="0.2">
      <c r="A603" s="270"/>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row>
    <row r="604" spans="1:28" ht="14.25" customHeight="1" x14ac:dyDescent="0.2">
      <c r="A604" s="270"/>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row>
    <row r="605" spans="1:28" ht="14.25" customHeight="1" x14ac:dyDescent="0.2">
      <c r="A605" s="270"/>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row>
    <row r="606" spans="1:28" ht="14.25" customHeight="1" x14ac:dyDescent="0.2">
      <c r="A606" s="270"/>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row>
    <row r="607" spans="1:28" ht="14.25" customHeight="1" x14ac:dyDescent="0.2">
      <c r="A607" s="270"/>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row>
    <row r="608" spans="1:28" ht="14.25" customHeight="1" x14ac:dyDescent="0.2">
      <c r="A608" s="270"/>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row>
    <row r="609" spans="1:28" ht="14.25" customHeight="1" x14ac:dyDescent="0.2">
      <c r="A609" s="270"/>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row>
    <row r="610" spans="1:28" ht="14.25" customHeight="1" x14ac:dyDescent="0.2">
      <c r="A610" s="270"/>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row>
    <row r="611" spans="1:28" ht="14.25" customHeight="1" x14ac:dyDescent="0.2">
      <c r="A611" s="270"/>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row>
    <row r="612" spans="1:28" ht="14.25" customHeight="1" x14ac:dyDescent="0.2">
      <c r="A612" s="270"/>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row>
    <row r="613" spans="1:28" ht="14.25" customHeight="1" x14ac:dyDescent="0.2">
      <c r="A613" s="270"/>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row>
    <row r="614" spans="1:28" ht="14.25" customHeight="1" x14ac:dyDescent="0.2">
      <c r="A614" s="270"/>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c r="AA614" s="270"/>
      <c r="AB614" s="270"/>
    </row>
    <row r="615" spans="1:28" ht="14.25" customHeight="1" x14ac:dyDescent="0.2">
      <c r="A615" s="270"/>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row>
    <row r="616" spans="1:28" ht="14.25" customHeight="1" x14ac:dyDescent="0.2">
      <c r="A616" s="270"/>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row>
    <row r="617" spans="1:28" ht="14.25" customHeight="1" x14ac:dyDescent="0.2">
      <c r="A617" s="270"/>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row>
    <row r="618" spans="1:28" ht="14.25" customHeight="1" x14ac:dyDescent="0.2">
      <c r="A618" s="270"/>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row>
    <row r="619" spans="1:28" ht="14.25" customHeight="1" x14ac:dyDescent="0.2">
      <c r="A619" s="270"/>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row>
    <row r="620" spans="1:28" ht="14.25" customHeight="1" x14ac:dyDescent="0.2">
      <c r="A620" s="270"/>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row>
    <row r="621" spans="1:28" ht="14.25" customHeight="1" x14ac:dyDescent="0.2">
      <c r="A621" s="270"/>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row>
    <row r="622" spans="1:28" ht="14.25" customHeight="1" x14ac:dyDescent="0.2">
      <c r="A622" s="270"/>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row>
    <row r="623" spans="1:28" ht="14.25" customHeight="1" x14ac:dyDescent="0.2">
      <c r="A623" s="270"/>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row>
    <row r="624" spans="1:28" ht="14.25" customHeight="1" x14ac:dyDescent="0.2">
      <c r="A624" s="270"/>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row>
    <row r="625" spans="1:28" ht="14.25" customHeight="1" x14ac:dyDescent="0.2">
      <c r="A625" s="270"/>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row>
    <row r="626" spans="1:28" ht="14.25" customHeight="1" x14ac:dyDescent="0.2">
      <c r="A626" s="270"/>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row>
    <row r="627" spans="1:28" ht="14.25" customHeight="1" x14ac:dyDescent="0.2">
      <c r="A627" s="270"/>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row>
    <row r="628" spans="1:28" ht="14.25" customHeight="1" x14ac:dyDescent="0.2">
      <c r="A628" s="270"/>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row>
    <row r="629" spans="1:28" ht="14.25" customHeight="1" x14ac:dyDescent="0.2">
      <c r="A629" s="270"/>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row>
    <row r="630" spans="1:28" ht="14.25" customHeight="1" x14ac:dyDescent="0.2">
      <c r="A630" s="270"/>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row>
    <row r="631" spans="1:28" ht="14.25" customHeight="1" x14ac:dyDescent="0.2">
      <c r="A631" s="270"/>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row>
    <row r="632" spans="1:28" ht="14.25" customHeight="1" x14ac:dyDescent="0.2">
      <c r="A632" s="270"/>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row>
    <row r="633" spans="1:28" ht="14.25" customHeight="1" x14ac:dyDescent="0.2">
      <c r="A633" s="270"/>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row>
    <row r="634" spans="1:28" ht="14.25" customHeight="1" x14ac:dyDescent="0.2">
      <c r="A634" s="270"/>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row>
    <row r="635" spans="1:28" ht="14.25" customHeight="1" x14ac:dyDescent="0.2">
      <c r="A635" s="270"/>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row>
    <row r="636" spans="1:28" ht="14.25" customHeight="1" x14ac:dyDescent="0.2">
      <c r="A636" s="270"/>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row>
    <row r="637" spans="1:28" ht="14.25" customHeight="1" x14ac:dyDescent="0.2">
      <c r="A637" s="270"/>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row>
    <row r="638" spans="1:28" ht="14.25" customHeight="1" x14ac:dyDescent="0.2">
      <c r="A638" s="270"/>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row>
    <row r="639" spans="1:28" ht="14.25" customHeight="1" x14ac:dyDescent="0.2">
      <c r="A639" s="270"/>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row>
    <row r="640" spans="1:28" ht="14.25" customHeight="1" x14ac:dyDescent="0.2">
      <c r="A640" s="270"/>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row>
    <row r="641" spans="1:28" ht="14.25" customHeight="1" x14ac:dyDescent="0.2">
      <c r="A641" s="270"/>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row>
    <row r="642" spans="1:28" ht="14.25" customHeight="1" x14ac:dyDescent="0.2">
      <c r="A642" s="270"/>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row>
    <row r="643" spans="1:28" ht="14.25" customHeight="1" x14ac:dyDescent="0.2">
      <c r="A643" s="270"/>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row>
    <row r="644" spans="1:28" ht="14.25" customHeight="1" x14ac:dyDescent="0.2">
      <c r="A644" s="270"/>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row>
    <row r="645" spans="1:28" ht="14.25" customHeight="1" x14ac:dyDescent="0.2">
      <c r="A645" s="270"/>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row>
    <row r="646" spans="1:28" ht="14.25" customHeight="1" x14ac:dyDescent="0.2">
      <c r="A646" s="270"/>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row>
    <row r="647" spans="1:28" ht="14.25" customHeight="1" x14ac:dyDescent="0.2">
      <c r="A647" s="270"/>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c r="X647" s="270"/>
      <c r="Y647" s="270"/>
      <c r="Z647" s="270"/>
      <c r="AA647" s="270"/>
      <c r="AB647" s="270"/>
    </row>
    <row r="648" spans="1:28" ht="14.25" customHeight="1" x14ac:dyDescent="0.2">
      <c r="A648" s="270"/>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c r="X648" s="270"/>
      <c r="Y648" s="270"/>
      <c r="Z648" s="270"/>
      <c r="AA648" s="270"/>
      <c r="AB648" s="270"/>
    </row>
    <row r="649" spans="1:28" ht="14.25" customHeight="1" x14ac:dyDescent="0.2">
      <c r="A649" s="270"/>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row>
    <row r="650" spans="1:28" ht="14.25" customHeight="1" x14ac:dyDescent="0.2">
      <c r="A650" s="270"/>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row>
    <row r="651" spans="1:28" ht="14.25" customHeight="1" x14ac:dyDescent="0.2">
      <c r="A651" s="270"/>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row>
    <row r="652" spans="1:28" ht="14.25" customHeight="1" x14ac:dyDescent="0.2">
      <c r="A652" s="270"/>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row>
    <row r="653" spans="1:28" ht="14.25" customHeight="1" x14ac:dyDescent="0.2">
      <c r="A653" s="270"/>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row>
    <row r="654" spans="1:28" ht="14.25" customHeight="1" x14ac:dyDescent="0.2">
      <c r="A654" s="270"/>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row>
    <row r="655" spans="1:28" ht="14.25" customHeight="1" x14ac:dyDescent="0.2">
      <c r="A655" s="270"/>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row>
    <row r="656" spans="1:28" ht="14.25" customHeight="1" x14ac:dyDescent="0.2">
      <c r="A656" s="270"/>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row>
    <row r="657" spans="1:28" ht="14.25" customHeight="1" x14ac:dyDescent="0.2">
      <c r="A657" s="270"/>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row>
    <row r="658" spans="1:28" ht="14.25" customHeight="1" x14ac:dyDescent="0.2">
      <c r="A658" s="270"/>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row>
    <row r="659" spans="1:28" ht="14.25" customHeight="1" x14ac:dyDescent="0.2">
      <c r="A659" s="270"/>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c r="X659" s="270"/>
      <c r="Y659" s="270"/>
      <c r="Z659" s="270"/>
      <c r="AA659" s="270"/>
      <c r="AB659" s="270"/>
    </row>
    <row r="660" spans="1:28" ht="14.25" customHeight="1" x14ac:dyDescent="0.2">
      <c r="A660" s="270"/>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c r="X660" s="270"/>
      <c r="Y660" s="270"/>
      <c r="Z660" s="270"/>
      <c r="AA660" s="270"/>
      <c r="AB660" s="270"/>
    </row>
    <row r="661" spans="1:28" ht="14.25" customHeight="1" x14ac:dyDescent="0.2">
      <c r="A661" s="270"/>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c r="AA661" s="270"/>
      <c r="AB661" s="270"/>
    </row>
    <row r="662" spans="1:28" ht="14.25" customHeight="1" x14ac:dyDescent="0.2">
      <c r="A662" s="270"/>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row>
    <row r="663" spans="1:28" ht="14.25" customHeight="1" x14ac:dyDescent="0.2">
      <c r="A663" s="270"/>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row>
    <row r="664" spans="1:28" ht="14.25" customHeight="1" x14ac:dyDescent="0.2">
      <c r="A664" s="270"/>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row>
    <row r="665" spans="1:28" ht="14.25" customHeight="1" x14ac:dyDescent="0.2">
      <c r="A665" s="270"/>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row>
    <row r="666" spans="1:28" ht="14.25" customHeight="1" x14ac:dyDescent="0.2">
      <c r="A666" s="270"/>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row>
    <row r="667" spans="1:28" ht="14.25" customHeight="1" x14ac:dyDescent="0.2">
      <c r="A667" s="270"/>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row>
    <row r="668" spans="1:28" ht="14.25" customHeight="1" x14ac:dyDescent="0.2">
      <c r="A668" s="270"/>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row>
    <row r="669" spans="1:28" ht="14.25" customHeight="1" x14ac:dyDescent="0.2">
      <c r="A669" s="270"/>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row>
    <row r="670" spans="1:28" ht="14.25" customHeight="1" x14ac:dyDescent="0.2">
      <c r="A670" s="270"/>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row>
    <row r="671" spans="1:28" ht="14.25" customHeight="1" x14ac:dyDescent="0.2">
      <c r="A671" s="270"/>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row>
    <row r="672" spans="1:28" ht="14.25" customHeight="1" x14ac:dyDescent="0.2">
      <c r="A672" s="270"/>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row>
    <row r="673" spans="1:28" ht="14.25" customHeight="1" x14ac:dyDescent="0.2">
      <c r="A673" s="270"/>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row>
    <row r="674" spans="1:28" ht="14.25" customHeight="1" x14ac:dyDescent="0.2">
      <c r="A674" s="270"/>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row>
    <row r="675" spans="1:28" ht="14.25" customHeight="1" x14ac:dyDescent="0.2">
      <c r="A675" s="270"/>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row>
    <row r="676" spans="1:28" ht="14.25" customHeight="1" x14ac:dyDescent="0.2">
      <c r="A676" s="270"/>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row>
    <row r="677" spans="1:28" ht="14.25" customHeight="1" x14ac:dyDescent="0.2">
      <c r="A677" s="270"/>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row>
    <row r="678" spans="1:28" ht="14.25" customHeight="1" x14ac:dyDescent="0.2">
      <c r="A678" s="270"/>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row>
    <row r="679" spans="1:28" ht="14.25" customHeight="1" x14ac:dyDescent="0.2">
      <c r="A679" s="270"/>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row>
    <row r="680" spans="1:28" ht="14.25" customHeight="1" x14ac:dyDescent="0.2">
      <c r="A680" s="270"/>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row>
    <row r="681" spans="1:28" ht="14.25" customHeight="1" x14ac:dyDescent="0.2">
      <c r="A681" s="270"/>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row>
    <row r="682" spans="1:28" ht="14.25" customHeight="1" x14ac:dyDescent="0.2">
      <c r="A682" s="270"/>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row>
    <row r="683" spans="1:28" ht="14.25" customHeight="1" x14ac:dyDescent="0.2">
      <c r="A683" s="270"/>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row>
    <row r="684" spans="1:28" ht="14.25" customHeight="1" x14ac:dyDescent="0.2">
      <c r="A684" s="270"/>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row>
    <row r="685" spans="1:28" ht="14.25" customHeight="1" x14ac:dyDescent="0.2">
      <c r="A685" s="270"/>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row>
    <row r="686" spans="1:28" ht="14.25" customHeight="1" x14ac:dyDescent="0.2">
      <c r="A686" s="270"/>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row>
    <row r="687" spans="1:28" ht="14.25" customHeight="1" x14ac:dyDescent="0.2">
      <c r="A687" s="270"/>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row>
    <row r="688" spans="1:28" ht="14.25" customHeight="1" x14ac:dyDescent="0.2">
      <c r="A688" s="270"/>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row>
    <row r="689" spans="1:28" ht="14.25" customHeight="1" x14ac:dyDescent="0.2">
      <c r="A689" s="270"/>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row>
    <row r="690" spans="1:28" ht="14.25" customHeight="1" x14ac:dyDescent="0.2">
      <c r="A690" s="270"/>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row>
    <row r="691" spans="1:28" ht="14.25" customHeight="1" x14ac:dyDescent="0.2">
      <c r="A691" s="270"/>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row>
    <row r="692" spans="1:28" ht="14.25" customHeight="1" x14ac:dyDescent="0.2">
      <c r="A692" s="270"/>
      <c r="B692" s="270"/>
      <c r="C692" s="270"/>
      <c r="D692" s="270"/>
      <c r="E692" s="270"/>
      <c r="F692" s="270"/>
      <c r="G692" s="270"/>
      <c r="H692" s="270"/>
      <c r="I692" s="270"/>
      <c r="J692" s="270"/>
      <c r="K692" s="270"/>
      <c r="L692" s="270"/>
      <c r="M692" s="270"/>
      <c r="N692" s="270"/>
      <c r="O692" s="270"/>
      <c r="P692" s="270"/>
      <c r="Q692" s="270"/>
      <c r="R692" s="270"/>
      <c r="S692" s="270"/>
      <c r="T692" s="270"/>
      <c r="U692" s="270"/>
      <c r="V692" s="270"/>
      <c r="W692" s="270"/>
      <c r="X692" s="270"/>
      <c r="Y692" s="270"/>
      <c r="Z692" s="270"/>
      <c r="AA692" s="270"/>
      <c r="AB692" s="270"/>
    </row>
    <row r="693" spans="1:28" ht="14.25" customHeight="1" x14ac:dyDescent="0.2">
      <c r="A693" s="270"/>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row>
    <row r="694" spans="1:28" ht="14.25" customHeight="1" x14ac:dyDescent="0.2">
      <c r="A694" s="270"/>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row>
    <row r="695" spans="1:28" ht="14.25" customHeight="1" x14ac:dyDescent="0.2">
      <c r="A695" s="270"/>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row>
    <row r="696" spans="1:28" ht="14.25" customHeight="1" x14ac:dyDescent="0.2">
      <c r="A696" s="270"/>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row>
    <row r="697" spans="1:28" ht="14.25" customHeight="1" x14ac:dyDescent="0.2">
      <c r="A697" s="270"/>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row>
    <row r="698" spans="1:28" ht="14.25" customHeight="1" x14ac:dyDescent="0.2">
      <c r="A698" s="270"/>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row>
    <row r="699" spans="1:28" ht="14.25" customHeight="1" x14ac:dyDescent="0.2">
      <c r="A699" s="270"/>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row>
    <row r="700" spans="1:28" ht="14.25" customHeight="1" x14ac:dyDescent="0.2">
      <c r="A700" s="270"/>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row>
    <row r="701" spans="1:28" ht="14.25" customHeight="1" x14ac:dyDescent="0.2">
      <c r="A701" s="270"/>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c r="AA701" s="270"/>
      <c r="AB701" s="270"/>
    </row>
    <row r="702" spans="1:28" ht="14.25" customHeight="1" x14ac:dyDescent="0.2">
      <c r="A702" s="270"/>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c r="X702" s="270"/>
      <c r="Y702" s="270"/>
      <c r="Z702" s="270"/>
      <c r="AA702" s="270"/>
      <c r="AB702" s="270"/>
    </row>
    <row r="703" spans="1:28" ht="14.25" customHeight="1" x14ac:dyDescent="0.2">
      <c r="A703" s="270"/>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row>
    <row r="704" spans="1:28" ht="14.25" customHeight="1" x14ac:dyDescent="0.2">
      <c r="A704" s="270"/>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c r="X704" s="270"/>
      <c r="Y704" s="270"/>
      <c r="Z704" s="270"/>
      <c r="AA704" s="270"/>
      <c r="AB704" s="270"/>
    </row>
    <row r="705" spans="1:28" ht="14.25" customHeight="1" x14ac:dyDescent="0.2">
      <c r="A705" s="270"/>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c r="X705" s="270"/>
      <c r="Y705" s="270"/>
      <c r="Z705" s="270"/>
      <c r="AA705" s="270"/>
      <c r="AB705" s="270"/>
    </row>
    <row r="706" spans="1:28" ht="14.25" customHeight="1" x14ac:dyDescent="0.2">
      <c r="A706" s="270"/>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row>
    <row r="707" spans="1:28" ht="14.25" customHeight="1" x14ac:dyDescent="0.2">
      <c r="A707" s="270"/>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row>
    <row r="708" spans="1:28" ht="14.25" customHeight="1" x14ac:dyDescent="0.2">
      <c r="A708" s="270"/>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row>
    <row r="709" spans="1:28" ht="14.25" customHeight="1" x14ac:dyDescent="0.2">
      <c r="A709" s="270"/>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row>
    <row r="710" spans="1:28" ht="14.25" customHeight="1" x14ac:dyDescent="0.2">
      <c r="A710" s="270"/>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row>
    <row r="711" spans="1:28" ht="14.25" customHeight="1" x14ac:dyDescent="0.2">
      <c r="A711" s="270"/>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row>
    <row r="712" spans="1:28" ht="14.25" customHeight="1" x14ac:dyDescent="0.2">
      <c r="A712" s="270"/>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row>
    <row r="713" spans="1:28" ht="14.25" customHeight="1" x14ac:dyDescent="0.2">
      <c r="A713" s="270"/>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row>
    <row r="714" spans="1:28" ht="14.25" customHeight="1" x14ac:dyDescent="0.2">
      <c r="A714" s="270"/>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row>
    <row r="715" spans="1:28" ht="14.25" customHeight="1" x14ac:dyDescent="0.2">
      <c r="A715" s="270"/>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row>
    <row r="716" spans="1:28" ht="14.25" customHeight="1" x14ac:dyDescent="0.2">
      <c r="A716" s="270"/>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row>
    <row r="717" spans="1:28" ht="14.25" customHeight="1" x14ac:dyDescent="0.2">
      <c r="A717" s="270"/>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row>
    <row r="718" spans="1:28" ht="14.25" customHeight="1" x14ac:dyDescent="0.2">
      <c r="A718" s="270"/>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row>
    <row r="719" spans="1:28" ht="14.25" customHeight="1" x14ac:dyDescent="0.2">
      <c r="A719" s="270"/>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row>
    <row r="720" spans="1:28" ht="14.25" customHeight="1" x14ac:dyDescent="0.2">
      <c r="A720" s="270"/>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row>
    <row r="721" spans="1:28" ht="14.25" customHeight="1" x14ac:dyDescent="0.2">
      <c r="A721" s="270"/>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row>
    <row r="722" spans="1:28" ht="14.25" customHeight="1" x14ac:dyDescent="0.2">
      <c r="A722" s="270"/>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row>
    <row r="723" spans="1:28" ht="14.25" customHeight="1" x14ac:dyDescent="0.2">
      <c r="A723" s="270"/>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row>
    <row r="724" spans="1:28" ht="14.25" customHeight="1" x14ac:dyDescent="0.2">
      <c r="A724" s="270"/>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row>
    <row r="725" spans="1:28" ht="14.25" customHeight="1" x14ac:dyDescent="0.2">
      <c r="A725" s="270"/>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row>
    <row r="726" spans="1:28" ht="14.25" customHeight="1" x14ac:dyDescent="0.2">
      <c r="A726" s="270"/>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row>
    <row r="727" spans="1:28" ht="14.25" customHeight="1" x14ac:dyDescent="0.2">
      <c r="A727" s="270"/>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row>
    <row r="728" spans="1:28" ht="14.25" customHeight="1" x14ac:dyDescent="0.2">
      <c r="A728" s="270"/>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row>
    <row r="729" spans="1:28" ht="14.25" customHeight="1" x14ac:dyDescent="0.2">
      <c r="A729" s="270"/>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c r="AA729" s="270"/>
      <c r="AB729" s="270"/>
    </row>
    <row r="730" spans="1:28" ht="14.25" customHeight="1" x14ac:dyDescent="0.2">
      <c r="A730" s="270"/>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c r="X730" s="270"/>
      <c r="Y730" s="270"/>
      <c r="Z730" s="270"/>
      <c r="AA730" s="270"/>
      <c r="AB730" s="270"/>
    </row>
    <row r="731" spans="1:28" ht="14.25" customHeight="1" x14ac:dyDescent="0.2">
      <c r="A731" s="270"/>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c r="AA731" s="270"/>
      <c r="AB731" s="270"/>
    </row>
    <row r="732" spans="1:28" ht="14.25" customHeight="1" x14ac:dyDescent="0.2">
      <c r="A732" s="270"/>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row>
    <row r="733" spans="1:28" ht="14.25" customHeight="1" x14ac:dyDescent="0.2">
      <c r="A733" s="270"/>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c r="AB733" s="270"/>
    </row>
    <row r="734" spans="1:28" ht="14.25" customHeight="1" x14ac:dyDescent="0.2">
      <c r="A734" s="270"/>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c r="AB734" s="270"/>
    </row>
    <row r="735" spans="1:28" ht="14.25" customHeight="1" x14ac:dyDescent="0.2">
      <c r="A735" s="270"/>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c r="X735" s="270"/>
      <c r="Y735" s="270"/>
      <c r="Z735" s="270"/>
      <c r="AA735" s="270"/>
      <c r="AB735" s="270"/>
    </row>
    <row r="736" spans="1:28" ht="14.25" customHeight="1" x14ac:dyDescent="0.2">
      <c r="A736" s="270"/>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row>
    <row r="737" spans="1:28" ht="14.25" customHeight="1" x14ac:dyDescent="0.2">
      <c r="A737" s="270"/>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row>
    <row r="738" spans="1:28" ht="14.25" customHeight="1" x14ac:dyDescent="0.2">
      <c r="A738" s="270"/>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row>
    <row r="739" spans="1:28" ht="14.25" customHeight="1" x14ac:dyDescent="0.2">
      <c r="A739" s="270"/>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row>
    <row r="740" spans="1:28" ht="14.25" customHeight="1" x14ac:dyDescent="0.2">
      <c r="A740" s="270"/>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row>
    <row r="741" spans="1:28" ht="14.25" customHeight="1" x14ac:dyDescent="0.2">
      <c r="A741" s="270"/>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row>
    <row r="742" spans="1:28" ht="14.25" customHeight="1" x14ac:dyDescent="0.2">
      <c r="A742" s="270"/>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row>
    <row r="743" spans="1:28" ht="14.25" customHeight="1" x14ac:dyDescent="0.2">
      <c r="A743" s="270"/>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row>
    <row r="744" spans="1:28" ht="14.25" customHeight="1" x14ac:dyDescent="0.2">
      <c r="A744" s="270"/>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row>
    <row r="745" spans="1:28" ht="14.25" customHeight="1" x14ac:dyDescent="0.2">
      <c r="A745" s="270"/>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row>
    <row r="746" spans="1:28" ht="14.25" customHeight="1" x14ac:dyDescent="0.2">
      <c r="A746" s="270"/>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row>
    <row r="747" spans="1:28" ht="14.25" customHeight="1" x14ac:dyDescent="0.2">
      <c r="A747" s="270"/>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row>
    <row r="748" spans="1:28" ht="14.25" customHeight="1" x14ac:dyDescent="0.2">
      <c r="A748" s="270"/>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c r="AA748" s="270"/>
      <c r="AB748" s="270"/>
    </row>
    <row r="749" spans="1:28" ht="14.25" customHeight="1" x14ac:dyDescent="0.2">
      <c r="A749" s="270"/>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row>
    <row r="750" spans="1:28" ht="14.25" customHeight="1" x14ac:dyDescent="0.2">
      <c r="A750" s="270"/>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c r="X750" s="270"/>
      <c r="Y750" s="270"/>
      <c r="Z750" s="270"/>
      <c r="AA750" s="270"/>
      <c r="AB750" s="270"/>
    </row>
    <row r="751" spans="1:28" ht="14.25" customHeight="1" x14ac:dyDescent="0.2">
      <c r="A751" s="270"/>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c r="X751" s="270"/>
      <c r="Y751" s="270"/>
      <c r="Z751" s="270"/>
      <c r="AA751" s="270"/>
      <c r="AB751" s="270"/>
    </row>
    <row r="752" spans="1:28" ht="14.25" customHeight="1" x14ac:dyDescent="0.2">
      <c r="A752" s="270"/>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row>
    <row r="753" spans="1:28" ht="14.25" customHeight="1" x14ac:dyDescent="0.2">
      <c r="A753" s="270"/>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row>
    <row r="754" spans="1:28" ht="14.25" customHeight="1" x14ac:dyDescent="0.2">
      <c r="A754" s="270"/>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row>
    <row r="755" spans="1:28" ht="14.25" customHeight="1" x14ac:dyDescent="0.2">
      <c r="A755" s="270"/>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row>
    <row r="756" spans="1:28" ht="14.25" customHeight="1" x14ac:dyDescent="0.2">
      <c r="A756" s="270"/>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row>
    <row r="757" spans="1:28" ht="14.25" customHeight="1" x14ac:dyDescent="0.2">
      <c r="A757" s="270"/>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row>
    <row r="758" spans="1:28" ht="14.25" customHeight="1" x14ac:dyDescent="0.2">
      <c r="A758" s="270"/>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row>
    <row r="759" spans="1:28" ht="14.25" customHeight="1" x14ac:dyDescent="0.2">
      <c r="A759" s="270"/>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row>
    <row r="760" spans="1:28" ht="14.25" customHeight="1" x14ac:dyDescent="0.2">
      <c r="A760" s="270"/>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row>
    <row r="761" spans="1:28" ht="14.25" customHeight="1" x14ac:dyDescent="0.2">
      <c r="A761" s="270"/>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row>
    <row r="762" spans="1:28" ht="14.25" customHeight="1" x14ac:dyDescent="0.2">
      <c r="A762" s="270"/>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row>
    <row r="763" spans="1:28" ht="14.25" customHeight="1" x14ac:dyDescent="0.2">
      <c r="A763" s="270"/>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row>
    <row r="764" spans="1:28" ht="14.25" customHeight="1" x14ac:dyDescent="0.2">
      <c r="A764" s="270"/>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row>
    <row r="765" spans="1:28" ht="14.25" customHeight="1" x14ac:dyDescent="0.2">
      <c r="A765" s="270"/>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row>
    <row r="766" spans="1:28" ht="14.25" customHeight="1" x14ac:dyDescent="0.2">
      <c r="A766" s="270"/>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row>
    <row r="767" spans="1:28" ht="14.25" customHeight="1" x14ac:dyDescent="0.2">
      <c r="A767" s="270"/>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row>
    <row r="768" spans="1:28" ht="14.25" customHeight="1" x14ac:dyDescent="0.2">
      <c r="A768" s="270"/>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row>
    <row r="769" spans="1:28" ht="14.25" customHeight="1" x14ac:dyDescent="0.2">
      <c r="A769" s="270"/>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row>
    <row r="770" spans="1:28" ht="14.25" customHeight="1" x14ac:dyDescent="0.2">
      <c r="A770" s="270"/>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row>
    <row r="771" spans="1:28" ht="14.25" customHeight="1" x14ac:dyDescent="0.2">
      <c r="A771" s="270"/>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row>
    <row r="772" spans="1:28" ht="14.25" customHeight="1" x14ac:dyDescent="0.2">
      <c r="A772" s="270"/>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row>
    <row r="773" spans="1:28" ht="14.25" customHeight="1" x14ac:dyDescent="0.2">
      <c r="A773" s="270"/>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row>
    <row r="774" spans="1:28" ht="14.25" customHeight="1" x14ac:dyDescent="0.2">
      <c r="A774" s="270"/>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row>
    <row r="775" spans="1:28" ht="14.25" customHeight="1" x14ac:dyDescent="0.2">
      <c r="A775" s="270"/>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row>
    <row r="776" spans="1:28" ht="14.25" customHeight="1" x14ac:dyDescent="0.2">
      <c r="A776" s="270"/>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row>
    <row r="777" spans="1:28" ht="14.25" customHeight="1" x14ac:dyDescent="0.2">
      <c r="A777" s="270"/>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row>
    <row r="778" spans="1:28" ht="14.25" customHeight="1" x14ac:dyDescent="0.2">
      <c r="A778" s="270"/>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row>
    <row r="779" spans="1:28" ht="14.25" customHeight="1" x14ac:dyDescent="0.2">
      <c r="A779" s="270"/>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row>
    <row r="780" spans="1:28" ht="14.25" customHeight="1" x14ac:dyDescent="0.2">
      <c r="A780" s="270"/>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row>
    <row r="781" spans="1:28" ht="14.25" customHeight="1" x14ac:dyDescent="0.2">
      <c r="A781" s="270"/>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row>
    <row r="782" spans="1:28" ht="14.25" customHeight="1" x14ac:dyDescent="0.2">
      <c r="A782" s="270"/>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row>
    <row r="783" spans="1:28" ht="14.25" customHeight="1" x14ac:dyDescent="0.2">
      <c r="A783" s="270"/>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row>
    <row r="784" spans="1:28" ht="14.25" customHeight="1" x14ac:dyDescent="0.2">
      <c r="A784" s="270"/>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row>
    <row r="785" spans="1:28" ht="14.25" customHeight="1" x14ac:dyDescent="0.2">
      <c r="A785" s="270"/>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row>
    <row r="786" spans="1:28" ht="14.25" customHeight="1" x14ac:dyDescent="0.2">
      <c r="A786" s="270"/>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row>
    <row r="787" spans="1:28" ht="14.25" customHeight="1" x14ac:dyDescent="0.2">
      <c r="A787" s="270"/>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row>
    <row r="788" spans="1:28" ht="14.25" customHeight="1" x14ac:dyDescent="0.2">
      <c r="A788" s="270"/>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row>
    <row r="789" spans="1:28" ht="14.25" customHeight="1" x14ac:dyDescent="0.2">
      <c r="A789" s="270"/>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row>
    <row r="790" spans="1:28" ht="14.25" customHeight="1" x14ac:dyDescent="0.2">
      <c r="A790" s="270"/>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row>
    <row r="791" spans="1:28" ht="14.25" customHeight="1" x14ac:dyDescent="0.2">
      <c r="A791" s="270"/>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row>
    <row r="792" spans="1:28" ht="14.25" customHeight="1" x14ac:dyDescent="0.2">
      <c r="A792" s="270"/>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row>
    <row r="793" spans="1:28" ht="14.25" customHeight="1" x14ac:dyDescent="0.2">
      <c r="A793" s="270"/>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row>
    <row r="794" spans="1:28" ht="14.25" customHeight="1" x14ac:dyDescent="0.2">
      <c r="A794" s="270"/>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row>
    <row r="795" spans="1:28" ht="14.25" customHeight="1" x14ac:dyDescent="0.2">
      <c r="A795" s="270"/>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row>
    <row r="796" spans="1:28" ht="14.25" customHeight="1" x14ac:dyDescent="0.2">
      <c r="A796" s="270"/>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row>
    <row r="797" spans="1:28" ht="14.25" customHeight="1" x14ac:dyDescent="0.2">
      <c r="A797" s="270"/>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row>
    <row r="798" spans="1:28" ht="14.25" customHeight="1" x14ac:dyDescent="0.2">
      <c r="A798" s="270"/>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row>
    <row r="799" spans="1:28" ht="14.25" customHeight="1" x14ac:dyDescent="0.2">
      <c r="A799" s="270"/>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row>
    <row r="800" spans="1:28" ht="14.25" customHeight="1" x14ac:dyDescent="0.2">
      <c r="A800" s="270"/>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row>
    <row r="801" spans="1:28" ht="14.25" customHeight="1" x14ac:dyDescent="0.2">
      <c r="A801" s="270"/>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row>
    <row r="802" spans="1:28" ht="14.25" customHeight="1" x14ac:dyDescent="0.2">
      <c r="A802" s="270"/>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row>
    <row r="803" spans="1:28" ht="14.25" customHeight="1" x14ac:dyDescent="0.2">
      <c r="A803" s="270"/>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row>
    <row r="804" spans="1:28" ht="14.25" customHeight="1" x14ac:dyDescent="0.2">
      <c r="A804" s="270"/>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row>
    <row r="805" spans="1:28" ht="14.25" customHeight="1" x14ac:dyDescent="0.2">
      <c r="A805" s="270"/>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row>
    <row r="806" spans="1:28" ht="14.25" customHeight="1" x14ac:dyDescent="0.2">
      <c r="A806" s="270"/>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row>
    <row r="807" spans="1:28" ht="14.25" customHeight="1" x14ac:dyDescent="0.2">
      <c r="A807" s="270"/>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row>
    <row r="808" spans="1:28" ht="14.25" customHeight="1" x14ac:dyDescent="0.2">
      <c r="A808" s="270"/>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row>
    <row r="809" spans="1:28" ht="14.25" customHeight="1" x14ac:dyDescent="0.2">
      <c r="A809" s="270"/>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row>
    <row r="810" spans="1:28" ht="14.25" customHeight="1" x14ac:dyDescent="0.2">
      <c r="A810" s="270"/>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row>
    <row r="811" spans="1:28" ht="14.25" customHeight="1" x14ac:dyDescent="0.2">
      <c r="A811" s="270"/>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row>
    <row r="812" spans="1:28" ht="14.25" customHeight="1" x14ac:dyDescent="0.2">
      <c r="A812" s="270"/>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row>
    <row r="813" spans="1:28" ht="14.25" customHeight="1" x14ac:dyDescent="0.2">
      <c r="A813" s="270"/>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row>
    <row r="814" spans="1:28" ht="14.25" customHeight="1" x14ac:dyDescent="0.2">
      <c r="A814" s="270"/>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row>
    <row r="815" spans="1:28" ht="14.25" customHeight="1" x14ac:dyDescent="0.2">
      <c r="A815" s="270"/>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row>
    <row r="816" spans="1:28" ht="14.25" customHeight="1" x14ac:dyDescent="0.2">
      <c r="A816" s="270"/>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row>
    <row r="817" spans="1:28" ht="14.25" customHeight="1" x14ac:dyDescent="0.2">
      <c r="A817" s="270"/>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row>
    <row r="818" spans="1:28" ht="14.25" customHeight="1" x14ac:dyDescent="0.2">
      <c r="A818" s="270"/>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row>
    <row r="819" spans="1:28" ht="14.25" customHeight="1" x14ac:dyDescent="0.2">
      <c r="A819" s="270"/>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row>
    <row r="820" spans="1:28" ht="14.25" customHeight="1" x14ac:dyDescent="0.2">
      <c r="A820" s="270"/>
      <c r="B820" s="270"/>
      <c r="C820" s="270"/>
      <c r="D820" s="270"/>
      <c r="E820" s="270"/>
      <c r="F820" s="270"/>
      <c r="G820" s="270"/>
      <c r="H820" s="270"/>
      <c r="I820" s="270"/>
      <c r="J820" s="270"/>
      <c r="K820" s="270"/>
      <c r="L820" s="270"/>
      <c r="M820" s="270"/>
      <c r="N820" s="270"/>
      <c r="O820" s="270"/>
      <c r="P820" s="270"/>
      <c r="Q820" s="270"/>
      <c r="R820" s="270"/>
      <c r="S820" s="270"/>
      <c r="T820" s="270"/>
      <c r="U820" s="270"/>
      <c r="V820" s="270"/>
      <c r="W820" s="270"/>
      <c r="X820" s="270"/>
      <c r="Y820" s="270"/>
      <c r="Z820" s="270"/>
      <c r="AA820" s="270"/>
      <c r="AB820" s="270"/>
    </row>
    <row r="821" spans="1:28" ht="14.25" customHeight="1" x14ac:dyDescent="0.2">
      <c r="A821" s="270"/>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c r="AA821" s="270"/>
      <c r="AB821" s="270"/>
    </row>
    <row r="822" spans="1:28" ht="14.25" customHeight="1" x14ac:dyDescent="0.2">
      <c r="A822" s="270"/>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row>
    <row r="823" spans="1:28" ht="14.25" customHeight="1" x14ac:dyDescent="0.2">
      <c r="A823" s="270"/>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c r="AA823" s="270"/>
      <c r="AB823" s="270"/>
    </row>
    <row r="824" spans="1:28" ht="14.25" customHeight="1" x14ac:dyDescent="0.2">
      <c r="A824" s="270"/>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c r="AA824" s="270"/>
      <c r="AB824" s="270"/>
    </row>
    <row r="825" spans="1:28" ht="14.25" customHeight="1" x14ac:dyDescent="0.2">
      <c r="A825" s="270"/>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c r="AA825" s="270"/>
      <c r="AB825" s="270"/>
    </row>
    <row r="826" spans="1:28" ht="14.25" customHeight="1" x14ac:dyDescent="0.2">
      <c r="A826" s="270"/>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row>
    <row r="827" spans="1:28" ht="14.25" customHeight="1" x14ac:dyDescent="0.2">
      <c r="A827" s="270"/>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row>
    <row r="828" spans="1:28" ht="14.25" customHeight="1" x14ac:dyDescent="0.2">
      <c r="A828" s="270"/>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row>
    <row r="829" spans="1:28" ht="14.25" customHeight="1" x14ac:dyDescent="0.2">
      <c r="A829" s="270"/>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row>
    <row r="830" spans="1:28" ht="14.25" customHeight="1" x14ac:dyDescent="0.2">
      <c r="A830" s="270"/>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row>
    <row r="831" spans="1:28" ht="14.25" customHeight="1" x14ac:dyDescent="0.2">
      <c r="A831" s="270"/>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row>
    <row r="832" spans="1:28" ht="14.25" customHeight="1" x14ac:dyDescent="0.2">
      <c r="A832" s="270"/>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row>
    <row r="833" spans="1:28" ht="14.25" customHeight="1" x14ac:dyDescent="0.2">
      <c r="A833" s="270"/>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row>
    <row r="834" spans="1:28" ht="14.25" customHeight="1" x14ac:dyDescent="0.2">
      <c r="A834" s="270"/>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row>
    <row r="835" spans="1:28" ht="14.25" customHeight="1" x14ac:dyDescent="0.2">
      <c r="A835" s="270"/>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row>
    <row r="836" spans="1:28" ht="14.25" customHeight="1" x14ac:dyDescent="0.2">
      <c r="A836" s="270"/>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row>
    <row r="837" spans="1:28" ht="14.25" customHeight="1" x14ac:dyDescent="0.2">
      <c r="A837" s="270"/>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row>
    <row r="838" spans="1:28" ht="14.25" customHeight="1" x14ac:dyDescent="0.2">
      <c r="A838" s="270"/>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row>
    <row r="839" spans="1:28" ht="14.25" customHeight="1" x14ac:dyDescent="0.2">
      <c r="A839" s="270"/>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c r="X839" s="270"/>
      <c r="Y839" s="270"/>
      <c r="Z839" s="270"/>
      <c r="AA839" s="270"/>
      <c r="AB839" s="270"/>
    </row>
    <row r="840" spans="1:28" ht="14.25" customHeight="1" x14ac:dyDescent="0.2">
      <c r="A840" s="270"/>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row>
    <row r="841" spans="1:28" ht="14.25" customHeight="1" x14ac:dyDescent="0.2">
      <c r="A841" s="270"/>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row>
    <row r="842" spans="1:28" ht="14.25" customHeight="1" x14ac:dyDescent="0.2">
      <c r="A842" s="270"/>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row>
    <row r="843" spans="1:28" ht="14.25" customHeight="1" x14ac:dyDescent="0.2">
      <c r="A843" s="270"/>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row>
    <row r="844" spans="1:28" ht="14.25" customHeight="1" x14ac:dyDescent="0.2">
      <c r="A844" s="270"/>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row>
    <row r="845" spans="1:28" ht="14.25" customHeight="1" x14ac:dyDescent="0.2">
      <c r="A845" s="270"/>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row>
    <row r="846" spans="1:28" ht="14.25" customHeight="1" x14ac:dyDescent="0.2">
      <c r="A846" s="270"/>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row>
    <row r="847" spans="1:28" ht="14.25" customHeight="1" x14ac:dyDescent="0.2">
      <c r="A847" s="270"/>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row>
    <row r="848" spans="1:28" ht="14.25" customHeight="1" x14ac:dyDescent="0.2">
      <c r="A848" s="270"/>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row>
    <row r="849" spans="1:28" ht="14.25" customHeight="1" x14ac:dyDescent="0.2">
      <c r="A849" s="270"/>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row>
    <row r="850" spans="1:28" ht="14.25" customHeight="1" x14ac:dyDescent="0.2">
      <c r="A850" s="270"/>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row>
    <row r="851" spans="1:28" ht="14.25" customHeight="1" x14ac:dyDescent="0.2">
      <c r="A851" s="270"/>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row>
    <row r="852" spans="1:28" ht="14.25" customHeight="1" x14ac:dyDescent="0.2">
      <c r="A852" s="270"/>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c r="X852" s="270"/>
      <c r="Y852" s="270"/>
      <c r="Z852" s="270"/>
      <c r="AA852" s="270"/>
      <c r="AB852" s="270"/>
    </row>
    <row r="853" spans="1:28" ht="14.25" customHeight="1" x14ac:dyDescent="0.2">
      <c r="A853" s="270"/>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row>
    <row r="854" spans="1:28" ht="14.25" customHeight="1" x14ac:dyDescent="0.2">
      <c r="A854" s="270"/>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row>
    <row r="855" spans="1:28" ht="14.25" customHeight="1" x14ac:dyDescent="0.2">
      <c r="A855" s="270"/>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row>
    <row r="856" spans="1:28" ht="14.25" customHeight="1" x14ac:dyDescent="0.2">
      <c r="A856" s="270"/>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c r="X856" s="270"/>
      <c r="Y856" s="270"/>
      <c r="Z856" s="270"/>
      <c r="AA856" s="270"/>
      <c r="AB856" s="270"/>
    </row>
    <row r="857" spans="1:28" ht="14.25" customHeight="1" x14ac:dyDescent="0.2">
      <c r="A857" s="270"/>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c r="AA857" s="270"/>
      <c r="AB857" s="270"/>
    </row>
    <row r="858" spans="1:28" ht="14.25" customHeight="1" x14ac:dyDescent="0.2">
      <c r="A858" s="270"/>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row>
    <row r="859" spans="1:28" ht="14.25" customHeight="1" x14ac:dyDescent="0.2">
      <c r="A859" s="270"/>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row>
    <row r="860" spans="1:28" ht="14.25" customHeight="1" x14ac:dyDescent="0.2">
      <c r="A860" s="270"/>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row>
    <row r="861" spans="1:28" ht="14.25" customHeight="1" x14ac:dyDescent="0.2">
      <c r="A861" s="270"/>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row>
    <row r="862" spans="1:28" ht="14.25" customHeight="1" x14ac:dyDescent="0.2">
      <c r="A862" s="270"/>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row>
    <row r="863" spans="1:28" ht="14.25" customHeight="1" x14ac:dyDescent="0.2">
      <c r="A863" s="270"/>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row>
    <row r="864" spans="1:28" ht="14.25" customHeight="1" x14ac:dyDescent="0.2">
      <c r="A864" s="270"/>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row>
    <row r="865" spans="1:28" ht="14.25" customHeight="1" x14ac:dyDescent="0.2">
      <c r="A865" s="270"/>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row>
    <row r="866" spans="1:28" ht="14.25" customHeight="1" x14ac:dyDescent="0.2">
      <c r="A866" s="270"/>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row>
    <row r="867" spans="1:28" ht="14.25" customHeight="1" x14ac:dyDescent="0.2">
      <c r="A867" s="270"/>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row>
    <row r="868" spans="1:28" ht="14.25" customHeight="1" x14ac:dyDescent="0.2">
      <c r="A868" s="270"/>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row>
    <row r="869" spans="1:28" ht="14.25" customHeight="1" x14ac:dyDescent="0.2">
      <c r="A869" s="270"/>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row>
    <row r="870" spans="1:28" ht="14.25" customHeight="1" x14ac:dyDescent="0.2">
      <c r="A870" s="270"/>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row>
    <row r="871" spans="1:28" ht="14.25" customHeight="1" x14ac:dyDescent="0.2">
      <c r="A871" s="270"/>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c r="X871" s="270"/>
      <c r="Y871" s="270"/>
      <c r="Z871" s="270"/>
      <c r="AA871" s="270"/>
      <c r="AB871" s="270"/>
    </row>
    <row r="872" spans="1:28" ht="14.25" customHeight="1" x14ac:dyDescent="0.2">
      <c r="A872" s="270"/>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c r="AB872" s="270"/>
    </row>
    <row r="873" spans="1:28" ht="14.25" customHeight="1" x14ac:dyDescent="0.2">
      <c r="A873" s="270"/>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row>
    <row r="874" spans="1:28" ht="14.25" customHeight="1" x14ac:dyDescent="0.2">
      <c r="A874" s="270"/>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row>
    <row r="875" spans="1:28" ht="14.25" customHeight="1" x14ac:dyDescent="0.2">
      <c r="A875" s="270"/>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row>
    <row r="876" spans="1:28" ht="14.25" customHeight="1" x14ac:dyDescent="0.2">
      <c r="A876" s="270"/>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row>
    <row r="877" spans="1:28" ht="14.25" customHeight="1" x14ac:dyDescent="0.2">
      <c r="A877" s="270"/>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row>
    <row r="878" spans="1:28" ht="14.25" customHeight="1" x14ac:dyDescent="0.2">
      <c r="A878" s="270"/>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row>
    <row r="879" spans="1:28" ht="14.25" customHeight="1" x14ac:dyDescent="0.2">
      <c r="A879" s="270"/>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row>
    <row r="880" spans="1:28" ht="14.25" customHeight="1" x14ac:dyDescent="0.2">
      <c r="A880" s="270"/>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row>
    <row r="881" spans="1:28" ht="14.25" customHeight="1" x14ac:dyDescent="0.2">
      <c r="A881" s="270"/>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row>
    <row r="882" spans="1:28" ht="14.25" customHeight="1" x14ac:dyDescent="0.2">
      <c r="A882" s="270"/>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row>
    <row r="883" spans="1:28" ht="14.25" customHeight="1" x14ac:dyDescent="0.2">
      <c r="A883" s="270"/>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row>
    <row r="884" spans="1:28" ht="14.25" customHeight="1" x14ac:dyDescent="0.2">
      <c r="A884" s="270"/>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row>
    <row r="885" spans="1:28" ht="14.25" customHeight="1" x14ac:dyDescent="0.2">
      <c r="A885" s="270"/>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row>
    <row r="886" spans="1:28" ht="14.25" customHeight="1" x14ac:dyDescent="0.2">
      <c r="A886" s="270"/>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row>
    <row r="887" spans="1:28" ht="14.25" customHeight="1" x14ac:dyDescent="0.2">
      <c r="A887" s="270"/>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row>
    <row r="888" spans="1:28" ht="14.25" customHeight="1" x14ac:dyDescent="0.2">
      <c r="A888" s="270"/>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row>
    <row r="889" spans="1:28" ht="14.25" customHeight="1" x14ac:dyDescent="0.2">
      <c r="A889" s="270"/>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row>
    <row r="890" spans="1:28" ht="14.25" customHeight="1" x14ac:dyDescent="0.2">
      <c r="A890" s="270"/>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row>
    <row r="891" spans="1:28" ht="14.25" customHeight="1" x14ac:dyDescent="0.2">
      <c r="A891" s="270"/>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row>
    <row r="892" spans="1:28" ht="14.25" customHeight="1" x14ac:dyDescent="0.2">
      <c r="A892" s="270"/>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row>
    <row r="893" spans="1:28" ht="14.25" customHeight="1" x14ac:dyDescent="0.2">
      <c r="A893" s="270"/>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row>
    <row r="894" spans="1:28" ht="14.25" customHeight="1" x14ac:dyDescent="0.2">
      <c r="A894" s="270"/>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row>
    <row r="895" spans="1:28" ht="14.25" customHeight="1" x14ac:dyDescent="0.2">
      <c r="A895" s="270"/>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row>
    <row r="896" spans="1:28" ht="14.25" customHeight="1" x14ac:dyDescent="0.2">
      <c r="A896" s="270"/>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row>
    <row r="897" spans="1:28" ht="14.25" customHeight="1" x14ac:dyDescent="0.2">
      <c r="A897" s="270"/>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row>
    <row r="898" spans="1:28" ht="14.25" customHeight="1" x14ac:dyDescent="0.2">
      <c r="A898" s="270"/>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row>
    <row r="899" spans="1:28" ht="14.25" customHeight="1" x14ac:dyDescent="0.2">
      <c r="A899" s="270"/>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row>
    <row r="900" spans="1:28" ht="14.25" customHeight="1" x14ac:dyDescent="0.2">
      <c r="A900" s="270"/>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row>
    <row r="901" spans="1:28" ht="14.25" customHeight="1" x14ac:dyDescent="0.2">
      <c r="A901" s="270"/>
      <c r="B901" s="270"/>
      <c r="C901" s="270"/>
      <c r="D901" s="270"/>
      <c r="E901" s="270"/>
      <c r="F901" s="270"/>
      <c r="G901" s="270"/>
      <c r="H901" s="270"/>
      <c r="I901" s="270"/>
      <c r="J901" s="270"/>
      <c r="K901" s="270"/>
      <c r="L901" s="270"/>
      <c r="M901" s="270"/>
      <c r="N901" s="270"/>
      <c r="O901" s="270"/>
      <c r="P901" s="270"/>
      <c r="Q901" s="270"/>
      <c r="R901" s="270"/>
      <c r="S901" s="270"/>
      <c r="T901" s="270"/>
      <c r="U901" s="270"/>
      <c r="V901" s="270"/>
      <c r="W901" s="270"/>
      <c r="X901" s="270"/>
      <c r="Y901" s="270"/>
      <c r="Z901" s="270"/>
      <c r="AA901" s="270"/>
      <c r="AB901" s="270"/>
    </row>
    <row r="902" spans="1:28" ht="14.25" customHeight="1" x14ac:dyDescent="0.2">
      <c r="A902" s="270"/>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c r="X902" s="270"/>
      <c r="Y902" s="270"/>
      <c r="Z902" s="270"/>
      <c r="AA902" s="270"/>
      <c r="AB902" s="270"/>
    </row>
    <row r="903" spans="1:28" ht="14.25" customHeight="1" x14ac:dyDescent="0.2">
      <c r="A903" s="270"/>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row>
    <row r="904" spans="1:28" ht="14.25" customHeight="1" x14ac:dyDescent="0.2">
      <c r="A904" s="270"/>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row>
    <row r="905" spans="1:28" ht="14.25" customHeight="1" x14ac:dyDescent="0.2">
      <c r="A905" s="270"/>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row>
    <row r="906" spans="1:28" ht="14.25" customHeight="1" x14ac:dyDescent="0.2">
      <c r="A906" s="270"/>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row>
    <row r="907" spans="1:28" ht="14.25" customHeight="1" x14ac:dyDescent="0.2">
      <c r="A907" s="270"/>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row>
    <row r="908" spans="1:28" ht="14.25" customHeight="1" x14ac:dyDescent="0.2">
      <c r="A908" s="270"/>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row>
    <row r="909" spans="1:28" ht="14.25" customHeight="1" x14ac:dyDescent="0.2">
      <c r="A909" s="270"/>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row>
    <row r="910" spans="1:28" ht="14.25" customHeight="1" x14ac:dyDescent="0.2">
      <c r="A910" s="270"/>
      <c r="B910" s="270"/>
      <c r="C910" s="270"/>
      <c r="D910" s="270"/>
      <c r="E910" s="270"/>
      <c r="F910" s="270"/>
      <c r="G910" s="270"/>
      <c r="H910" s="270"/>
      <c r="I910" s="270"/>
      <c r="J910" s="270"/>
      <c r="K910" s="270"/>
      <c r="L910" s="270"/>
      <c r="M910" s="270"/>
      <c r="N910" s="270"/>
      <c r="O910" s="270"/>
      <c r="P910" s="270"/>
      <c r="Q910" s="270"/>
      <c r="R910" s="270"/>
      <c r="S910" s="270"/>
      <c r="T910" s="270"/>
      <c r="U910" s="270"/>
      <c r="V910" s="270"/>
      <c r="W910" s="270"/>
      <c r="X910" s="270"/>
      <c r="Y910" s="270"/>
      <c r="Z910" s="270"/>
      <c r="AA910" s="270"/>
      <c r="AB910" s="270"/>
    </row>
    <row r="911" spans="1:28" ht="14.25" customHeight="1" x14ac:dyDescent="0.2">
      <c r="A911" s="270"/>
      <c r="B911" s="270"/>
      <c r="C911" s="270"/>
      <c r="D911" s="270"/>
      <c r="E911" s="270"/>
      <c r="F911" s="270"/>
      <c r="G911" s="270"/>
      <c r="H911" s="270"/>
      <c r="I911" s="270"/>
      <c r="J911" s="270"/>
      <c r="K911" s="270"/>
      <c r="L911" s="270"/>
      <c r="M911" s="270"/>
      <c r="N911" s="270"/>
      <c r="O911" s="270"/>
      <c r="P911" s="270"/>
      <c r="Q911" s="270"/>
      <c r="R911" s="270"/>
      <c r="S911" s="270"/>
      <c r="T911" s="270"/>
      <c r="U911" s="270"/>
      <c r="V911" s="270"/>
      <c r="W911" s="270"/>
      <c r="X911" s="270"/>
      <c r="Y911" s="270"/>
      <c r="Z911" s="270"/>
      <c r="AA911" s="270"/>
      <c r="AB911" s="270"/>
    </row>
    <row r="912" spans="1:28" ht="14.25" customHeight="1" x14ac:dyDescent="0.2">
      <c r="A912" s="270"/>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c r="AA912" s="270"/>
      <c r="AB912" s="270"/>
    </row>
    <row r="913" spans="1:28" ht="14.25" customHeight="1" x14ac:dyDescent="0.2">
      <c r="A913" s="270"/>
      <c r="B913" s="270"/>
      <c r="C913" s="270"/>
      <c r="D913" s="270"/>
      <c r="E913" s="270"/>
      <c r="F913" s="270"/>
      <c r="G913" s="270"/>
      <c r="H913" s="270"/>
      <c r="I913" s="270"/>
      <c r="J913" s="270"/>
      <c r="K913" s="270"/>
      <c r="L913" s="270"/>
      <c r="M913" s="270"/>
      <c r="N913" s="270"/>
      <c r="O913" s="270"/>
      <c r="P913" s="270"/>
      <c r="Q913" s="270"/>
      <c r="R913" s="270"/>
      <c r="S913" s="270"/>
      <c r="T913" s="270"/>
      <c r="U913" s="270"/>
      <c r="V913" s="270"/>
      <c r="W913" s="270"/>
      <c r="X913" s="270"/>
      <c r="Y913" s="270"/>
      <c r="Z913" s="270"/>
      <c r="AA913" s="270"/>
      <c r="AB913" s="270"/>
    </row>
    <row r="914" spans="1:28" ht="14.25" customHeight="1" x14ac:dyDescent="0.2">
      <c r="A914" s="270"/>
      <c r="B914" s="270"/>
      <c r="C914" s="270"/>
      <c r="D914" s="270"/>
      <c r="E914" s="270"/>
      <c r="F914" s="270"/>
      <c r="G914" s="270"/>
      <c r="H914" s="270"/>
      <c r="I914" s="270"/>
      <c r="J914" s="270"/>
      <c r="K914" s="270"/>
      <c r="L914" s="270"/>
      <c r="M914" s="270"/>
      <c r="N914" s="270"/>
      <c r="O914" s="270"/>
      <c r="P914" s="270"/>
      <c r="Q914" s="270"/>
      <c r="R914" s="270"/>
      <c r="S914" s="270"/>
      <c r="T914" s="270"/>
      <c r="U914" s="270"/>
      <c r="V914" s="270"/>
      <c r="W914" s="270"/>
      <c r="X914" s="270"/>
      <c r="Y914" s="270"/>
      <c r="Z914" s="270"/>
      <c r="AA914" s="270"/>
      <c r="AB914" s="270"/>
    </row>
    <row r="915" spans="1:28" ht="14.25" customHeight="1" x14ac:dyDescent="0.2">
      <c r="A915" s="270"/>
      <c r="B915" s="270"/>
      <c r="C915" s="270"/>
      <c r="D915" s="270"/>
      <c r="E915" s="270"/>
      <c r="F915" s="270"/>
      <c r="G915" s="270"/>
      <c r="H915" s="270"/>
      <c r="I915" s="270"/>
      <c r="J915" s="270"/>
      <c r="K915" s="270"/>
      <c r="L915" s="270"/>
      <c r="M915" s="270"/>
      <c r="N915" s="270"/>
      <c r="O915" s="270"/>
      <c r="P915" s="270"/>
      <c r="Q915" s="270"/>
      <c r="R915" s="270"/>
      <c r="S915" s="270"/>
      <c r="T915" s="270"/>
      <c r="U915" s="270"/>
      <c r="V915" s="270"/>
      <c r="W915" s="270"/>
      <c r="X915" s="270"/>
      <c r="Y915" s="270"/>
      <c r="Z915" s="270"/>
      <c r="AA915" s="270"/>
      <c r="AB915" s="270"/>
    </row>
    <row r="916" spans="1:28" ht="14.25" customHeight="1" x14ac:dyDescent="0.2">
      <c r="A916" s="270"/>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row>
    <row r="917" spans="1:28" ht="14.25" customHeight="1" x14ac:dyDescent="0.2">
      <c r="A917" s="270"/>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row>
    <row r="918" spans="1:28" ht="14.25" customHeight="1" x14ac:dyDescent="0.2">
      <c r="A918" s="270"/>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row>
    <row r="919" spans="1:28" ht="14.25" customHeight="1" x14ac:dyDescent="0.2">
      <c r="A919" s="270"/>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row>
    <row r="920" spans="1:28" ht="14.25" customHeight="1" x14ac:dyDescent="0.2">
      <c r="A920" s="270"/>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row>
    <row r="921" spans="1:28" ht="14.25" customHeight="1" x14ac:dyDescent="0.2">
      <c r="A921" s="270"/>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row>
    <row r="922" spans="1:28" ht="14.25" customHeight="1" x14ac:dyDescent="0.2">
      <c r="A922" s="270"/>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row>
    <row r="923" spans="1:28" ht="14.25" customHeight="1" x14ac:dyDescent="0.2">
      <c r="A923" s="270"/>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row>
    <row r="924" spans="1:28" ht="14.25" customHeight="1" x14ac:dyDescent="0.2">
      <c r="A924" s="270"/>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row>
    <row r="925" spans="1:28" ht="14.25" customHeight="1" x14ac:dyDescent="0.2">
      <c r="A925" s="270"/>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row>
    <row r="926" spans="1:28" ht="14.25" customHeight="1" x14ac:dyDescent="0.2">
      <c r="A926" s="270"/>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row>
    <row r="927" spans="1:28" ht="14.25" customHeight="1" x14ac:dyDescent="0.2">
      <c r="A927" s="270"/>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row>
    <row r="928" spans="1:28" ht="14.25" customHeight="1" x14ac:dyDescent="0.2">
      <c r="A928" s="270"/>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row>
    <row r="929" spans="1:28" ht="14.25" customHeight="1" x14ac:dyDescent="0.2">
      <c r="A929" s="270"/>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row>
    <row r="930" spans="1:28" ht="14.25" customHeight="1" x14ac:dyDescent="0.2">
      <c r="A930" s="270"/>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row>
    <row r="931" spans="1:28" ht="14.25" customHeight="1" x14ac:dyDescent="0.2">
      <c r="A931" s="270"/>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row>
    <row r="932" spans="1:28" ht="14.25" customHeight="1" x14ac:dyDescent="0.2">
      <c r="A932" s="270"/>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row>
    <row r="933" spans="1:28" ht="14.25" customHeight="1" x14ac:dyDescent="0.2">
      <c r="A933" s="270"/>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row>
    <row r="934" spans="1:28" ht="14.25" customHeight="1" x14ac:dyDescent="0.2">
      <c r="A934" s="270"/>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row>
    <row r="935" spans="1:28" ht="14.25" customHeight="1" x14ac:dyDescent="0.2">
      <c r="A935" s="270"/>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row>
    <row r="936" spans="1:28" ht="14.25" customHeight="1" x14ac:dyDescent="0.2">
      <c r="A936" s="270"/>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row>
    <row r="937" spans="1:28" ht="14.25" customHeight="1" x14ac:dyDescent="0.2">
      <c r="A937" s="270"/>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row>
    <row r="938" spans="1:28" ht="14.25" customHeight="1" x14ac:dyDescent="0.2">
      <c r="A938" s="270"/>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row>
    <row r="939" spans="1:28" ht="14.25" customHeight="1" x14ac:dyDescent="0.2">
      <c r="A939" s="270"/>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row>
    <row r="940" spans="1:28" ht="14.25" customHeight="1" x14ac:dyDescent="0.2">
      <c r="A940" s="270"/>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row>
    <row r="941" spans="1:28" ht="14.25" customHeight="1" x14ac:dyDescent="0.2">
      <c r="A941" s="270"/>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row>
    <row r="942" spans="1:28" ht="14.25" customHeight="1" x14ac:dyDescent="0.2">
      <c r="A942" s="270"/>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row>
    <row r="943" spans="1:28" ht="14.25" customHeight="1" x14ac:dyDescent="0.2">
      <c r="A943" s="270"/>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row>
    <row r="944" spans="1:28" ht="14.25" customHeight="1" x14ac:dyDescent="0.2">
      <c r="A944" s="270"/>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row>
    <row r="945" spans="1:28" ht="14.25" customHeight="1" x14ac:dyDescent="0.2">
      <c r="A945" s="270"/>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row>
    <row r="946" spans="1:28" ht="14.25" customHeight="1" x14ac:dyDescent="0.2">
      <c r="A946" s="270"/>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row>
    <row r="947" spans="1:28" ht="14.25" customHeight="1" x14ac:dyDescent="0.2">
      <c r="A947" s="270"/>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row>
    <row r="948" spans="1:28" ht="14.25" customHeight="1" x14ac:dyDescent="0.2">
      <c r="A948" s="270"/>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row>
    <row r="949" spans="1:28" ht="14.25" customHeight="1" x14ac:dyDescent="0.2">
      <c r="A949" s="270"/>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row>
    <row r="950" spans="1:28" ht="14.25" customHeight="1" x14ac:dyDescent="0.2">
      <c r="A950" s="270"/>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row>
    <row r="951" spans="1:28" ht="14.25" customHeight="1" x14ac:dyDescent="0.2">
      <c r="A951" s="270"/>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row>
    <row r="952" spans="1:28" ht="14.25" customHeight="1" x14ac:dyDescent="0.2">
      <c r="A952" s="270"/>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row>
    <row r="953" spans="1:28" ht="14.25" customHeight="1" x14ac:dyDescent="0.2">
      <c r="A953" s="270"/>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row>
    <row r="954" spans="1:28" ht="14.25" customHeight="1" x14ac:dyDescent="0.2">
      <c r="A954" s="270"/>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row>
    <row r="955" spans="1:28" ht="14.25" customHeight="1" x14ac:dyDescent="0.2">
      <c r="A955" s="270"/>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row>
    <row r="956" spans="1:28" ht="14.25" customHeight="1" x14ac:dyDescent="0.2">
      <c r="A956" s="270"/>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row>
    <row r="957" spans="1:28" ht="14.25" customHeight="1" x14ac:dyDescent="0.2">
      <c r="A957" s="270"/>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row>
    <row r="958" spans="1:28" ht="14.25" customHeight="1" x14ac:dyDescent="0.2">
      <c r="A958" s="270"/>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row>
    <row r="959" spans="1:28" ht="14.25" customHeight="1" x14ac:dyDescent="0.2">
      <c r="A959" s="270"/>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row>
    <row r="960" spans="1:28" ht="14.25" customHeight="1" x14ac:dyDescent="0.2">
      <c r="A960" s="270"/>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row>
    <row r="961" spans="1:28" ht="14.25" customHeight="1" x14ac:dyDescent="0.2">
      <c r="A961" s="270"/>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row>
    <row r="962" spans="1:28" ht="14.25" customHeight="1" x14ac:dyDescent="0.2">
      <c r="A962" s="270"/>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row>
    <row r="963" spans="1:28" ht="14.25" customHeight="1" x14ac:dyDescent="0.2">
      <c r="A963" s="270"/>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row>
    <row r="964" spans="1:28" ht="14.25" customHeight="1" x14ac:dyDescent="0.2">
      <c r="A964" s="270"/>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row>
    <row r="965" spans="1:28" ht="14.25" customHeight="1" x14ac:dyDescent="0.2">
      <c r="A965" s="270"/>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row>
    <row r="966" spans="1:28" ht="14.25" customHeight="1" x14ac:dyDescent="0.2">
      <c r="A966" s="270"/>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row>
    <row r="967" spans="1:28" ht="14.25" customHeight="1" x14ac:dyDescent="0.2">
      <c r="A967" s="270"/>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row>
    <row r="968" spans="1:28" ht="14.25" customHeight="1" x14ac:dyDescent="0.2">
      <c r="A968" s="270"/>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row>
    <row r="969" spans="1:28" ht="14.25" customHeight="1" x14ac:dyDescent="0.2">
      <c r="A969" s="270"/>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row>
    <row r="970" spans="1:28" ht="14.25" customHeight="1" x14ac:dyDescent="0.2">
      <c r="A970" s="270"/>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row>
    <row r="971" spans="1:28" ht="14.25" customHeight="1" x14ac:dyDescent="0.2">
      <c r="A971" s="270"/>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row>
    <row r="972" spans="1:28" ht="14.25" customHeight="1" x14ac:dyDescent="0.2">
      <c r="A972" s="270"/>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row>
    <row r="973" spans="1:28" ht="14.25" customHeight="1" x14ac:dyDescent="0.2">
      <c r="A973" s="270"/>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row>
    <row r="974" spans="1:28" ht="14.25" customHeight="1" x14ac:dyDescent="0.2">
      <c r="A974" s="270"/>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row>
    <row r="975" spans="1:28" ht="14.25" customHeight="1" x14ac:dyDescent="0.2">
      <c r="A975" s="270"/>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row>
    <row r="976" spans="1:28" ht="14.25" customHeight="1" x14ac:dyDescent="0.2">
      <c r="A976" s="270"/>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row>
    <row r="977" spans="1:28" ht="14.25" customHeight="1" x14ac:dyDescent="0.2">
      <c r="A977" s="270"/>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row>
    <row r="978" spans="1:28" ht="14.25" customHeight="1" x14ac:dyDescent="0.2">
      <c r="A978" s="270"/>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row>
    <row r="979" spans="1:28" ht="14.25" customHeight="1" x14ac:dyDescent="0.2">
      <c r="A979" s="270"/>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c r="X979" s="270"/>
      <c r="Y979" s="270"/>
      <c r="Z979" s="270"/>
      <c r="AA979" s="270"/>
      <c r="AB979" s="270"/>
    </row>
    <row r="980" spans="1:28" ht="14.25" customHeight="1" x14ac:dyDescent="0.2">
      <c r="A980" s="270"/>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c r="AA980" s="270"/>
      <c r="AB980" s="270"/>
    </row>
    <row r="981" spans="1:28" ht="14.25" customHeight="1" x14ac:dyDescent="0.2">
      <c r="A981" s="270"/>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row>
    <row r="982" spans="1:28" ht="14.25" customHeight="1" x14ac:dyDescent="0.2">
      <c r="A982" s="270"/>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row>
    <row r="983" spans="1:28" ht="14.25" customHeight="1" x14ac:dyDescent="0.2">
      <c r="A983" s="270"/>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row>
    <row r="984" spans="1:28" ht="14.25" customHeight="1" x14ac:dyDescent="0.2">
      <c r="A984" s="270"/>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row>
    <row r="985" spans="1:28" ht="14.25" customHeight="1" x14ac:dyDescent="0.2">
      <c r="A985" s="270"/>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row>
    <row r="986" spans="1:28" ht="14.25" customHeight="1" x14ac:dyDescent="0.2">
      <c r="A986" s="270"/>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row>
    <row r="987" spans="1:28" ht="14.25" customHeight="1" x14ac:dyDescent="0.2">
      <c r="A987" s="270"/>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row>
    <row r="988" spans="1:28" ht="14.25" customHeight="1" x14ac:dyDescent="0.2">
      <c r="A988" s="270"/>
      <c r="B988" s="270"/>
      <c r="C988" s="270"/>
      <c r="D988" s="270"/>
      <c r="E988" s="270"/>
      <c r="F988" s="270"/>
      <c r="G988" s="270"/>
      <c r="H988" s="270"/>
      <c r="I988" s="270"/>
      <c r="J988" s="270"/>
      <c r="K988" s="270"/>
      <c r="L988" s="270"/>
      <c r="M988" s="270"/>
      <c r="N988" s="270"/>
      <c r="O988" s="270"/>
      <c r="P988" s="270"/>
      <c r="Q988" s="270"/>
      <c r="R988" s="270"/>
      <c r="S988" s="270"/>
      <c r="T988" s="270"/>
      <c r="U988" s="270"/>
      <c r="V988" s="270"/>
      <c r="W988" s="270"/>
      <c r="X988" s="270"/>
      <c r="Y988" s="270"/>
      <c r="Z988" s="270"/>
      <c r="AA988" s="270"/>
      <c r="AB988" s="270"/>
    </row>
    <row r="989" spans="1:28" ht="14.25" customHeight="1" x14ac:dyDescent="0.2">
      <c r="A989" s="270"/>
      <c r="B989" s="270"/>
      <c r="C989" s="270"/>
      <c r="D989" s="270"/>
      <c r="E989" s="270"/>
      <c r="F989" s="270"/>
      <c r="G989" s="270"/>
      <c r="H989" s="270"/>
      <c r="I989" s="270"/>
      <c r="J989" s="270"/>
      <c r="K989" s="270"/>
      <c r="L989" s="270"/>
      <c r="M989" s="270"/>
      <c r="N989" s="270"/>
      <c r="O989" s="270"/>
      <c r="P989" s="270"/>
      <c r="Q989" s="270"/>
      <c r="R989" s="270"/>
      <c r="S989" s="270"/>
      <c r="T989" s="270"/>
      <c r="U989" s="270"/>
      <c r="V989" s="270"/>
      <c r="W989" s="270"/>
      <c r="X989" s="270"/>
      <c r="Y989" s="270"/>
      <c r="Z989" s="270"/>
      <c r="AA989" s="270"/>
      <c r="AB989" s="270"/>
    </row>
    <row r="990" spans="1:28" ht="14.25" customHeight="1" x14ac:dyDescent="0.2">
      <c r="A990" s="270"/>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c r="AA990" s="270"/>
      <c r="AB990" s="270"/>
    </row>
    <row r="991" spans="1:28" ht="14.25" customHeight="1" x14ac:dyDescent="0.2">
      <c r="A991" s="270"/>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c r="X991" s="270"/>
      <c r="Y991" s="270"/>
      <c r="Z991" s="270"/>
      <c r="AA991" s="270"/>
      <c r="AB991" s="270"/>
    </row>
    <row r="992" spans="1:28" ht="14.25" customHeight="1" x14ac:dyDescent="0.2">
      <c r="A992" s="270"/>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c r="X992" s="270"/>
      <c r="Y992" s="270"/>
      <c r="Z992" s="270"/>
      <c r="AA992" s="270"/>
      <c r="AB992" s="270"/>
    </row>
    <row r="993" spans="1:28" ht="14.25" customHeight="1" x14ac:dyDescent="0.2">
      <c r="A993" s="270"/>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c r="X993" s="270"/>
      <c r="Y993" s="270"/>
      <c r="Z993" s="270"/>
      <c r="AA993" s="270"/>
      <c r="AB993" s="270"/>
    </row>
    <row r="994" spans="1:28" ht="14.25" customHeight="1" x14ac:dyDescent="0.2">
      <c r="A994" s="270"/>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row>
    <row r="995" spans="1:28" ht="14.25" customHeight="1" x14ac:dyDescent="0.2">
      <c r="A995" s="270"/>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row>
    <row r="996" spans="1:28" ht="14.25" customHeight="1" x14ac:dyDescent="0.2">
      <c r="A996" s="270"/>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row>
    <row r="997" spans="1:28" ht="14.25" customHeight="1" x14ac:dyDescent="0.2">
      <c r="A997" s="270"/>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row>
    <row r="998" spans="1:28" ht="14.25" customHeight="1" x14ac:dyDescent="0.2">
      <c r="A998" s="270"/>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row>
    <row r="999" spans="1:28" ht="14.25" customHeight="1" x14ac:dyDescent="0.2">
      <c r="A999" s="270"/>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row>
    <row r="1000" spans="1:28" ht="14.25" customHeight="1" x14ac:dyDescent="0.2">
      <c r="A1000" s="270"/>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row>
  </sheetData>
  <mergeCells count="10">
    <mergeCell ref="A14:A16"/>
    <mergeCell ref="A17:A19"/>
    <mergeCell ref="A20:A22"/>
    <mergeCell ref="A1:A2"/>
    <mergeCell ref="B1:B2"/>
    <mergeCell ref="C1:H1"/>
    <mergeCell ref="I1:M1"/>
    <mergeCell ref="A3:A6"/>
    <mergeCell ref="A7:A10"/>
    <mergeCell ref="A11:A13"/>
  </mergeCells>
  <conditionalFormatting sqref="A11 A14:A15 A17:A18 A20:M1000">
    <cfRule type="cellIs" dxfId="93" priority="1" operator="lessThan">
      <formula>0</formula>
    </cfRule>
  </conditionalFormatting>
  <conditionalFormatting sqref="A1:C1 I1:M1 H2 L2:M2 A2:A5 B3:H10 L4:M6 A7:M9">
    <cfRule type="cellIs" dxfId="92" priority="2" operator="lessThan">
      <formula>0</formula>
    </cfRule>
  </conditionalFormatting>
  <conditionalFormatting sqref="A6:I6 B10:M22">
    <cfRule type="cellIs" dxfId="91" priority="3" operator="lessThan">
      <formula>0</formula>
    </cfRule>
  </conditionalFormatting>
  <conditionalFormatting sqref="B4:K5">
    <cfRule type="cellIs" dxfId="90" priority="4" operator="lessThan">
      <formula>0</formula>
    </cfRule>
  </conditionalFormatting>
  <conditionalFormatting sqref="I3:M3">
    <cfRule type="cellIs" dxfId="89" priority="5" operator="lessThan">
      <formula>0</formula>
    </cfRule>
  </conditionalFormatting>
  <conditionalFormatting sqref="J4:J6 K6">
    <cfRule type="cellIs" dxfId="88" priority="6" operator="lessThan">
      <formula>0</formula>
    </cfRule>
  </conditionalFormatting>
  <conditionalFormatting sqref="N1:AB2 B3:C3 F3:H3 J3:K3 L3:M6 H6:I6 H10:M10 A11 A14:A15 A17:A18">
    <cfRule type="cellIs" dxfId="87" priority="7" operator="lessThan">
      <formula>#REF!</formula>
    </cfRule>
  </conditionalFormatting>
  <conditionalFormatting sqref="O3:AB5 A3:A9 M4:M5 P6:AB10 B6:C1000 D7:D9 H7:H9 M7:M9 F11:M1000 A20:A1000 D20:E1000">
    <cfRule type="cellIs" dxfId="86" priority="8" operator="lessThan">
      <formula>#REF!</formula>
    </cfRule>
  </conditionalFormatting>
  <conditionalFormatting sqref="O11:AB22">
    <cfRule type="cellIs" dxfId="85" priority="9" operator="lessThan">
      <formula>#REF!</formula>
    </cfRule>
  </conditionalFormatting>
  <pageMargins left="0.7" right="0.7" top="0.78740157499999996" bottom="0.78740157499999996"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A0C4E3"/>
  </sheetPr>
  <dimension ref="A1:Z1000"/>
  <sheetViews>
    <sheetView zoomScale="40" zoomScaleNormal="55" workbookViewId="0">
      <pane xSplit="1" ySplit="2" topLeftCell="B3" activePane="bottomRight" state="frozen"/>
      <selection pane="topRight" activeCell="B1" sqref="B1"/>
      <selection pane="bottomLeft" activeCell="A3" sqref="A3"/>
      <selection pane="bottomRight" activeCell="F17" sqref="F17"/>
    </sheetView>
  </sheetViews>
  <sheetFormatPr baseColWidth="10" defaultColWidth="14.5" defaultRowHeight="15" customHeight="1" x14ac:dyDescent="0.2"/>
  <cols>
    <col min="1" max="1" width="34.6640625" customWidth="1"/>
    <col min="2" max="2" width="40.5" customWidth="1"/>
    <col min="3" max="3" width="25.83203125" customWidth="1"/>
    <col min="4" max="4" width="24.1640625" customWidth="1"/>
    <col min="5" max="5" width="30.5" customWidth="1"/>
    <col min="6" max="6" width="25.83203125" customWidth="1"/>
    <col min="7" max="7" width="35.33203125" customWidth="1"/>
    <col min="8" max="10" width="25.83203125" customWidth="1"/>
    <col min="11" max="11" width="34.1640625" customWidth="1"/>
    <col min="12" max="12" width="25.83203125" customWidth="1"/>
    <col min="13" max="13" width="40.5" customWidth="1"/>
    <col min="14" max="14" width="18" customWidth="1"/>
    <col min="15" max="26" width="10.83203125" customWidth="1"/>
  </cols>
  <sheetData>
    <row r="1" spans="1:26" ht="30" customHeight="1" x14ac:dyDescent="0.3">
      <c r="A1" s="606" t="s">
        <v>459</v>
      </c>
      <c r="B1" s="608" t="s">
        <v>7</v>
      </c>
      <c r="C1" s="609" t="s">
        <v>379</v>
      </c>
      <c r="D1" s="610"/>
      <c r="E1" s="610"/>
      <c r="F1" s="610"/>
      <c r="G1" s="610"/>
      <c r="H1" s="611"/>
      <c r="I1" s="612" t="s">
        <v>503</v>
      </c>
      <c r="J1" s="610"/>
      <c r="K1" s="610"/>
      <c r="L1" s="610"/>
      <c r="M1" s="611"/>
      <c r="N1" s="28"/>
      <c r="O1" s="28"/>
      <c r="P1" s="28"/>
      <c r="Q1" s="28"/>
      <c r="R1" s="28"/>
      <c r="S1" s="28"/>
      <c r="T1" s="28"/>
      <c r="U1" s="28"/>
      <c r="V1" s="28"/>
      <c r="W1" s="28"/>
      <c r="X1" s="28"/>
      <c r="Y1" s="28"/>
      <c r="Z1" s="28"/>
    </row>
    <row r="2" spans="1:26" ht="30" customHeight="1" x14ac:dyDescent="0.3">
      <c r="A2" s="607"/>
      <c r="B2" s="623"/>
      <c r="C2" s="129" t="s">
        <v>381</v>
      </c>
      <c r="D2" s="130" t="s">
        <v>551</v>
      </c>
      <c r="E2" s="131" t="s">
        <v>383</v>
      </c>
      <c r="F2" s="132" t="s">
        <v>384</v>
      </c>
      <c r="G2" s="133" t="s">
        <v>456</v>
      </c>
      <c r="H2" s="134" t="s">
        <v>386</v>
      </c>
      <c r="I2" s="135" t="s">
        <v>381</v>
      </c>
      <c r="J2" s="136" t="s">
        <v>384</v>
      </c>
      <c r="K2" s="137" t="s">
        <v>456</v>
      </c>
      <c r="L2" s="138" t="s">
        <v>386</v>
      </c>
      <c r="M2" s="139" t="s">
        <v>457</v>
      </c>
      <c r="N2" s="28"/>
      <c r="O2" s="28"/>
      <c r="P2" s="28"/>
      <c r="Q2" s="28"/>
      <c r="R2" s="28"/>
      <c r="S2" s="28"/>
      <c r="T2" s="28"/>
      <c r="U2" s="28"/>
      <c r="V2" s="28"/>
      <c r="W2" s="28"/>
      <c r="X2" s="28"/>
      <c r="Y2" s="28"/>
      <c r="Z2" s="28"/>
    </row>
    <row r="3" spans="1:26" ht="30" customHeight="1" x14ac:dyDescent="0.3">
      <c r="A3" s="648" t="s">
        <v>562</v>
      </c>
      <c r="B3" s="329" t="s">
        <v>563</v>
      </c>
      <c r="C3" s="330">
        <v>50</v>
      </c>
      <c r="D3" s="143">
        <v>0</v>
      </c>
      <c r="E3" s="194">
        <v>0</v>
      </c>
      <c r="F3" s="331">
        <v>0</v>
      </c>
      <c r="G3" s="331">
        <v>50</v>
      </c>
      <c r="H3" s="228">
        <f t="shared" ref="H3:H6" si="0">G3+F3-C3</f>
        <v>0</v>
      </c>
      <c r="I3" s="194">
        <f>SUMIFS('Cashbook ING'!$B:$B, 'Cashbook ING'!$A:$A, "ART_MovieNight")</f>
        <v>-99.66</v>
      </c>
      <c r="J3" s="331">
        <f>SUMIFS('Cashbook Wix'!$B$2:$B$7106,'Cashbook Wix'!$A$2:$A$7106,"ART_")</f>
        <v>0</v>
      </c>
      <c r="K3" s="194">
        <v>0</v>
      </c>
      <c r="L3" s="228">
        <f t="shared" ref="L3:L6" si="1">I3+J3+K3</f>
        <v>-99.66</v>
      </c>
      <c r="M3" s="332">
        <f t="shared" ref="M3:M6" si="2">L3-H3</f>
        <v>-99.66</v>
      </c>
      <c r="N3" s="28"/>
      <c r="O3" s="28"/>
      <c r="P3" s="28"/>
      <c r="Q3" s="28"/>
      <c r="R3" s="28"/>
      <c r="S3" s="28"/>
      <c r="T3" s="28"/>
      <c r="U3" s="28"/>
      <c r="V3" s="28"/>
      <c r="W3" s="28"/>
      <c r="X3" s="28"/>
      <c r="Y3" s="28"/>
      <c r="Z3" s="28"/>
    </row>
    <row r="4" spans="1:26" ht="30" customHeight="1" x14ac:dyDescent="0.3">
      <c r="A4" s="620"/>
      <c r="B4" s="329" t="s">
        <v>564</v>
      </c>
      <c r="C4" s="330">
        <v>50</v>
      </c>
      <c r="D4" s="143">
        <v>0</v>
      </c>
      <c r="E4" s="194">
        <v>0</v>
      </c>
      <c r="F4" s="331">
        <v>0</v>
      </c>
      <c r="G4" s="331">
        <v>30</v>
      </c>
      <c r="H4" s="228">
        <f t="shared" si="0"/>
        <v>-20</v>
      </c>
      <c r="I4" s="194">
        <f>SUMIFS('Cashbook ING'!$B:$B, 'Cashbook ING'!$A:$A, "ART_")</f>
        <v>0</v>
      </c>
      <c r="J4" s="331">
        <f>SUMIFS('Cashbook Wix'!$B$2:$B$7106,'Cashbook Wix'!$A$2:$A$7106,"ART_")</f>
        <v>0</v>
      </c>
      <c r="K4" s="194">
        <v>0</v>
      </c>
      <c r="L4" s="228">
        <f t="shared" si="1"/>
        <v>0</v>
      </c>
      <c r="M4" s="333">
        <f t="shared" si="2"/>
        <v>20</v>
      </c>
      <c r="N4" s="28"/>
      <c r="O4" s="28"/>
      <c r="P4" s="28"/>
      <c r="Q4" s="28"/>
      <c r="R4" s="28"/>
      <c r="S4" s="28"/>
      <c r="T4" s="28"/>
      <c r="U4" s="28"/>
      <c r="V4" s="28"/>
      <c r="W4" s="28"/>
      <c r="X4" s="28"/>
      <c r="Y4" s="28"/>
      <c r="Z4" s="28"/>
    </row>
    <row r="5" spans="1:26" ht="30" customHeight="1" x14ac:dyDescent="0.3">
      <c r="A5" s="620"/>
      <c r="B5" s="334" t="s">
        <v>509</v>
      </c>
      <c r="C5" s="194">
        <v>0</v>
      </c>
      <c r="D5" s="143">
        <v>65</v>
      </c>
      <c r="E5" s="194">
        <v>0</v>
      </c>
      <c r="F5" s="194">
        <f t="shared" ref="F5:F6" si="3">E5*D5</f>
        <v>0</v>
      </c>
      <c r="G5" s="194">
        <v>0</v>
      </c>
      <c r="H5" s="228">
        <f t="shared" si="0"/>
        <v>0</v>
      </c>
      <c r="I5" s="194">
        <f>SUMIFS('Cashbook ING'!$B:$B, 'Cashbook ING'!$A:$A, "ART_")</f>
        <v>0</v>
      </c>
      <c r="J5" s="194">
        <f>SUMIFS('Cashbook Wix'!$B$2:$B$7106,'Cashbook Wix'!$A$2:$A$7106,"ART_")</f>
        <v>0</v>
      </c>
      <c r="K5" s="194">
        <v>0</v>
      </c>
      <c r="L5" s="228">
        <f t="shared" si="1"/>
        <v>0</v>
      </c>
      <c r="M5" s="333">
        <f t="shared" si="2"/>
        <v>0</v>
      </c>
      <c r="N5" s="28"/>
      <c r="O5" s="28"/>
      <c r="P5" s="28"/>
      <c r="Q5" s="28"/>
      <c r="R5" s="28"/>
      <c r="S5" s="28"/>
      <c r="T5" s="28"/>
      <c r="U5" s="28"/>
      <c r="V5" s="28"/>
      <c r="W5" s="28"/>
      <c r="X5" s="28"/>
      <c r="Y5" s="28"/>
      <c r="Z5" s="28"/>
    </row>
    <row r="6" spans="1:26" ht="30" customHeight="1" x14ac:dyDescent="0.3">
      <c r="A6" s="620"/>
      <c r="B6" s="334" t="s">
        <v>510</v>
      </c>
      <c r="C6" s="194">
        <v>0</v>
      </c>
      <c r="D6" s="143">
        <v>0</v>
      </c>
      <c r="E6" s="194">
        <v>0</v>
      </c>
      <c r="F6" s="194">
        <f t="shared" si="3"/>
        <v>0</v>
      </c>
      <c r="G6" s="194">
        <v>0</v>
      </c>
      <c r="H6" s="228">
        <f t="shared" si="0"/>
        <v>0</v>
      </c>
      <c r="I6" s="194">
        <f>SUMIFS('Cashbook ING'!$B:$B, 'Cashbook ING'!$A:$A, "ART_")</f>
        <v>0</v>
      </c>
      <c r="J6" s="194">
        <f>SUMIFS('Cashbook Wix'!$B$2:$B$7106,'Cashbook Wix'!$A$2:$A$7106,"ART_")</f>
        <v>0</v>
      </c>
      <c r="K6" s="194">
        <v>0</v>
      </c>
      <c r="L6" s="228">
        <f t="shared" si="1"/>
        <v>0</v>
      </c>
      <c r="M6" s="228">
        <f t="shared" si="2"/>
        <v>0</v>
      </c>
      <c r="N6" s="28"/>
      <c r="O6" s="28"/>
      <c r="P6" s="28"/>
      <c r="Q6" s="28"/>
      <c r="R6" s="28"/>
      <c r="S6" s="28"/>
      <c r="T6" s="28"/>
      <c r="U6" s="28"/>
      <c r="V6" s="28"/>
      <c r="W6" s="28"/>
      <c r="X6" s="28"/>
      <c r="Y6" s="28"/>
      <c r="Z6" s="28"/>
    </row>
    <row r="7" spans="1:26" ht="30" customHeight="1" x14ac:dyDescent="0.3">
      <c r="A7" s="621"/>
      <c r="B7" s="335" t="s">
        <v>511</v>
      </c>
      <c r="C7" s="235">
        <f>SUM(C3:C6)</f>
        <v>100</v>
      </c>
      <c r="D7" s="234">
        <f>SUM(D5:D6)</f>
        <v>65</v>
      </c>
      <c r="E7" s="235">
        <v>0</v>
      </c>
      <c r="F7" s="233">
        <f t="shared" ref="F7:M7" si="4">SUM(F3:F6)</f>
        <v>0</v>
      </c>
      <c r="G7" s="233">
        <f t="shared" si="4"/>
        <v>80</v>
      </c>
      <c r="H7" s="236">
        <f t="shared" si="4"/>
        <v>-20</v>
      </c>
      <c r="I7" s="235">
        <f t="shared" si="4"/>
        <v>-99.66</v>
      </c>
      <c r="J7" s="233">
        <f t="shared" si="4"/>
        <v>0</v>
      </c>
      <c r="K7" s="233">
        <f t="shared" si="4"/>
        <v>0</v>
      </c>
      <c r="L7" s="236">
        <f t="shared" si="4"/>
        <v>-99.66</v>
      </c>
      <c r="M7" s="236">
        <f t="shared" si="4"/>
        <v>-79.66</v>
      </c>
      <c r="N7" s="336"/>
      <c r="O7" s="28"/>
      <c r="P7" s="28"/>
      <c r="Q7" s="28"/>
      <c r="R7" s="28"/>
      <c r="S7" s="28"/>
      <c r="T7" s="28"/>
      <c r="U7" s="28"/>
      <c r="V7" s="28"/>
      <c r="W7" s="28"/>
      <c r="X7" s="28"/>
      <c r="Y7" s="28"/>
      <c r="Z7" s="28"/>
    </row>
    <row r="8" spans="1:26" ht="30" customHeight="1" x14ac:dyDescent="0.3">
      <c r="A8" s="649" t="s">
        <v>565</v>
      </c>
      <c r="B8" s="337" t="s">
        <v>566</v>
      </c>
      <c r="C8" s="338">
        <v>120</v>
      </c>
      <c r="D8" s="227">
        <v>0</v>
      </c>
      <c r="E8" s="226">
        <v>0</v>
      </c>
      <c r="F8" s="338">
        <v>0</v>
      </c>
      <c r="G8" s="338">
        <v>120</v>
      </c>
      <c r="H8" s="276">
        <f t="shared" ref="H8:H12" si="5">F8+G8-C8</f>
        <v>0</v>
      </c>
      <c r="I8" s="226">
        <f>SUMIFS('Cashbook ING'!$B:$B, 'Cashbook ING'!$A:$A, "ART_Gingerbread")</f>
        <v>0</v>
      </c>
      <c r="J8" s="338">
        <f>SUMIFS('Cashbook Wix'!$B$2:$B$7106,'Cashbook Wix'!$A$2:$A$7106,"ART_")</f>
        <v>0</v>
      </c>
      <c r="K8" s="226">
        <v>0</v>
      </c>
      <c r="L8" s="276">
        <f t="shared" ref="L8:L9" si="6">J8+K8+I8</f>
        <v>0</v>
      </c>
      <c r="M8" s="276">
        <f t="shared" ref="M8:M12" si="7">L8-H8</f>
        <v>0</v>
      </c>
      <c r="N8" s="28"/>
      <c r="O8" s="28"/>
      <c r="P8" s="28"/>
      <c r="Q8" s="28"/>
      <c r="R8" s="28"/>
      <c r="S8" s="28"/>
      <c r="T8" s="28"/>
      <c r="U8" s="28"/>
      <c r="V8" s="28"/>
      <c r="W8" s="28"/>
      <c r="X8" s="28"/>
      <c r="Y8" s="28"/>
      <c r="Z8" s="28"/>
    </row>
    <row r="9" spans="1:26" ht="30" customHeight="1" x14ac:dyDescent="0.3">
      <c r="A9" s="643"/>
      <c r="B9" s="329" t="s">
        <v>556</v>
      </c>
      <c r="C9" s="331">
        <v>50</v>
      </c>
      <c r="D9" s="143">
        <v>0</v>
      </c>
      <c r="E9" s="194">
        <v>0</v>
      </c>
      <c r="F9" s="331">
        <v>0</v>
      </c>
      <c r="G9" s="331">
        <v>0</v>
      </c>
      <c r="H9" s="228">
        <f t="shared" si="5"/>
        <v>-50</v>
      </c>
      <c r="I9" s="194">
        <f>SUMIFS('Cashbook ING'!$B:$B, 'Cashbook ING'!$A:$A, "ART_")</f>
        <v>0</v>
      </c>
      <c r="J9" s="331">
        <f>SUMIFS('Cashbook Wix'!$B$2:$B$7106,'Cashbook Wix'!$A$2:$A$7106,"ART_")</f>
        <v>0</v>
      </c>
      <c r="K9" s="194">
        <v>0</v>
      </c>
      <c r="L9" s="228">
        <f t="shared" si="6"/>
        <v>0</v>
      </c>
      <c r="M9" s="228">
        <f t="shared" si="7"/>
        <v>50</v>
      </c>
      <c r="N9" s="28"/>
      <c r="O9" s="28"/>
      <c r="P9" s="28"/>
      <c r="Q9" s="28"/>
      <c r="R9" s="28"/>
      <c r="S9" s="28"/>
      <c r="T9" s="28"/>
      <c r="U9" s="28"/>
      <c r="V9" s="28"/>
      <c r="W9" s="28"/>
      <c r="X9" s="28"/>
      <c r="Y9" s="28"/>
      <c r="Z9" s="28"/>
    </row>
    <row r="10" spans="1:26" ht="30" customHeight="1" x14ac:dyDescent="0.3">
      <c r="A10" s="643"/>
      <c r="B10" s="329" t="s">
        <v>567</v>
      </c>
      <c r="C10" s="331">
        <v>30</v>
      </c>
      <c r="D10" s="143">
        <v>0</v>
      </c>
      <c r="E10" s="194">
        <v>0</v>
      </c>
      <c r="F10" s="331">
        <v>0</v>
      </c>
      <c r="G10" s="331">
        <v>0</v>
      </c>
      <c r="H10" s="228">
        <f t="shared" si="5"/>
        <v>-30</v>
      </c>
      <c r="I10" s="194">
        <f>SUMIFS('Cashbook ING'!$B:$B, 'Cashbook ING'!$A:$A, "ART_")</f>
        <v>0</v>
      </c>
      <c r="J10" s="331">
        <f>SUMIFS('Cashbook Wix'!$B$2:$B$7106,'Cashbook Wix'!$A$2:$A$7106,"ART_")</f>
        <v>0</v>
      </c>
      <c r="K10" s="194">
        <v>0</v>
      </c>
      <c r="L10" s="228">
        <f t="shared" ref="L10:L12" si="8">I10+J10+K10</f>
        <v>0</v>
      </c>
      <c r="M10" s="228">
        <f t="shared" si="7"/>
        <v>30</v>
      </c>
      <c r="N10" s="28"/>
      <c r="O10" s="28"/>
      <c r="P10" s="28"/>
      <c r="Q10" s="28"/>
      <c r="R10" s="28"/>
      <c r="S10" s="28"/>
      <c r="T10" s="28"/>
      <c r="U10" s="28"/>
      <c r="V10" s="28"/>
      <c r="W10" s="28"/>
      <c r="X10" s="28"/>
      <c r="Y10" s="28"/>
      <c r="Z10" s="28"/>
    </row>
    <row r="11" spans="1:26" ht="30" customHeight="1" x14ac:dyDescent="0.3">
      <c r="A11" s="643"/>
      <c r="B11" s="334" t="s">
        <v>509</v>
      </c>
      <c r="C11" s="194">
        <v>0</v>
      </c>
      <c r="D11" s="160">
        <v>35</v>
      </c>
      <c r="E11" s="194">
        <v>3</v>
      </c>
      <c r="F11" s="194">
        <f t="shared" ref="F11:F12" si="9">D11*E11</f>
        <v>105</v>
      </c>
      <c r="G11" s="194">
        <v>0</v>
      </c>
      <c r="H11" s="228">
        <f t="shared" si="5"/>
        <v>105</v>
      </c>
      <c r="I11" s="194">
        <f>SUMIFS('Cashbook ING'!$B:$B, 'Cashbook ING'!$A:$A, "ART_")</f>
        <v>0</v>
      </c>
      <c r="J11" s="331">
        <f>SUMIFS('Cashbook Wix'!$B$2:$B$7106,'Cashbook Wix'!$A$2:$A$7106,"ART_Gingerbread_Member")</f>
        <v>97.490000000000038</v>
      </c>
      <c r="K11" s="194">
        <v>0</v>
      </c>
      <c r="L11" s="228">
        <f t="shared" si="8"/>
        <v>97.490000000000038</v>
      </c>
      <c r="M11" s="228">
        <f t="shared" si="7"/>
        <v>-7.5099999999999625</v>
      </c>
      <c r="N11" s="28"/>
      <c r="O11" s="28"/>
      <c r="P11" s="28"/>
      <c r="Q11" s="28"/>
      <c r="R11" s="28"/>
      <c r="S11" s="28"/>
      <c r="T11" s="28"/>
      <c r="U11" s="28"/>
      <c r="V11" s="28"/>
      <c r="W11" s="28"/>
      <c r="X11" s="28"/>
      <c r="Y11" s="28"/>
      <c r="Z11" s="28"/>
    </row>
    <row r="12" spans="1:26" ht="30" customHeight="1" x14ac:dyDescent="0.3">
      <c r="A12" s="643"/>
      <c r="B12" s="334" t="s">
        <v>510</v>
      </c>
      <c r="C12" s="194">
        <v>0</v>
      </c>
      <c r="D12" s="160">
        <v>5</v>
      </c>
      <c r="E12" s="194">
        <v>5</v>
      </c>
      <c r="F12" s="194">
        <f t="shared" si="9"/>
        <v>25</v>
      </c>
      <c r="G12" s="194">
        <v>0</v>
      </c>
      <c r="H12" s="228">
        <f t="shared" si="5"/>
        <v>25</v>
      </c>
      <c r="I12" s="194">
        <f>SUMIFS('Cashbook ING'!$B:$B, 'Cashbook ING'!$A:$A, "ART_")</f>
        <v>0</v>
      </c>
      <c r="J12" s="194">
        <f>SUMIFS('Cashbook Wix'!$B$2:$B$7106,'Cashbook Wix'!$A$2:$A$7106,"ART_Gingerbread_NonMember")</f>
        <v>25.92</v>
      </c>
      <c r="K12" s="194">
        <v>0</v>
      </c>
      <c r="L12" s="228">
        <f t="shared" si="8"/>
        <v>25.92</v>
      </c>
      <c r="M12" s="228">
        <f t="shared" si="7"/>
        <v>0.92000000000000171</v>
      </c>
      <c r="N12" s="28"/>
      <c r="O12" s="28"/>
      <c r="P12" s="28"/>
      <c r="Q12" s="28"/>
      <c r="R12" s="28"/>
      <c r="S12" s="28"/>
      <c r="T12" s="28"/>
      <c r="U12" s="28"/>
      <c r="V12" s="28"/>
      <c r="W12" s="28"/>
      <c r="X12" s="28"/>
      <c r="Y12" s="28"/>
      <c r="Z12" s="28"/>
    </row>
    <row r="13" spans="1:26" ht="30" customHeight="1" x14ac:dyDescent="0.3">
      <c r="A13" s="644"/>
      <c r="B13" s="335" t="s">
        <v>511</v>
      </c>
      <c r="C13" s="235">
        <f>SUM(C8:C12)</f>
        <v>200</v>
      </c>
      <c r="D13" s="234">
        <f>SUM(D11:D12)</f>
        <v>40</v>
      </c>
      <c r="E13" s="235">
        <v>0</v>
      </c>
      <c r="F13" s="233">
        <f t="shared" ref="F13:M13" si="10">SUM(F8:F12)</f>
        <v>130</v>
      </c>
      <c r="G13" s="233">
        <f t="shared" si="10"/>
        <v>120</v>
      </c>
      <c r="H13" s="236">
        <f t="shared" si="10"/>
        <v>50</v>
      </c>
      <c r="I13" s="235">
        <f t="shared" si="10"/>
        <v>0</v>
      </c>
      <c r="J13" s="233">
        <f t="shared" si="10"/>
        <v>123.41000000000004</v>
      </c>
      <c r="K13" s="233">
        <f t="shared" si="10"/>
        <v>0</v>
      </c>
      <c r="L13" s="236">
        <f t="shared" si="10"/>
        <v>123.41000000000004</v>
      </c>
      <c r="M13" s="236">
        <f t="shared" si="10"/>
        <v>73.410000000000039</v>
      </c>
      <c r="N13" s="336"/>
      <c r="O13" s="28"/>
      <c r="P13" s="28"/>
      <c r="Q13" s="28"/>
      <c r="R13" s="28"/>
      <c r="S13" s="28"/>
      <c r="T13" s="28"/>
      <c r="U13" s="28"/>
      <c r="V13" s="28"/>
      <c r="W13" s="28"/>
      <c r="X13" s="28"/>
      <c r="Y13" s="28"/>
      <c r="Z13" s="28"/>
    </row>
    <row r="14" spans="1:26" ht="30" customHeight="1" x14ac:dyDescent="0.3">
      <c r="A14" s="650" t="s">
        <v>568</v>
      </c>
      <c r="B14" s="337" t="s">
        <v>569</v>
      </c>
      <c r="C14" s="338">
        <v>75</v>
      </c>
      <c r="D14" s="227">
        <v>0</v>
      </c>
      <c r="E14" s="226">
        <v>0</v>
      </c>
      <c r="F14" s="338">
        <v>0</v>
      </c>
      <c r="G14" s="338">
        <v>75</v>
      </c>
      <c r="H14" s="228">
        <f t="shared" ref="H14:H18" si="11">F14+G14-C14</f>
        <v>0</v>
      </c>
      <c r="I14" s="226">
        <f>SUMIFS('Cashbook ING'!$B:$B, 'Cashbook ING'!$A:$A, "ART_")</f>
        <v>0</v>
      </c>
      <c r="J14" s="338">
        <f>SUMIFS('Cashbook Wix'!$B$2:$B$7106,'Cashbook Wix'!$A$2:$A$7106,"ART_")</f>
        <v>0</v>
      </c>
      <c r="K14" s="226">
        <v>0</v>
      </c>
      <c r="L14" s="276">
        <f t="shared" ref="L14:L18" si="12">J14+K14+I14</f>
        <v>0</v>
      </c>
      <c r="M14" s="242">
        <f t="shared" ref="M14:M18" si="13">L14-H14</f>
        <v>0</v>
      </c>
      <c r="N14" s="28"/>
      <c r="O14" s="28"/>
      <c r="P14" s="28"/>
      <c r="Q14" s="28"/>
      <c r="R14" s="28"/>
      <c r="S14" s="28"/>
      <c r="T14" s="28"/>
      <c r="U14" s="28"/>
      <c r="V14" s="28"/>
      <c r="W14" s="28"/>
      <c r="X14" s="28"/>
      <c r="Y14" s="28"/>
      <c r="Z14" s="28"/>
    </row>
    <row r="15" spans="1:26" ht="30" customHeight="1" x14ac:dyDescent="0.3">
      <c r="A15" s="620"/>
      <c r="B15" s="339" t="s">
        <v>570</v>
      </c>
      <c r="C15" s="330">
        <v>60</v>
      </c>
      <c r="D15" s="143">
        <v>0</v>
      </c>
      <c r="E15" s="194">
        <v>0</v>
      </c>
      <c r="F15" s="331">
        <v>0</v>
      </c>
      <c r="G15" s="331">
        <v>40</v>
      </c>
      <c r="H15" s="228">
        <f t="shared" si="11"/>
        <v>-20</v>
      </c>
      <c r="I15" s="195">
        <f>SUMIFS('Cashbook ING'!$B:$B, 'Cashbook ING'!$A:$A, "ART_")</f>
        <v>0</v>
      </c>
      <c r="J15" s="331">
        <f>SUMIFS('Cashbook Wix'!$B$2:$B$7106,'Cashbook Wix'!$A$2:$A$7106,"ART_")</f>
        <v>0</v>
      </c>
      <c r="K15" s="194">
        <v>0</v>
      </c>
      <c r="L15" s="228">
        <f t="shared" si="12"/>
        <v>0</v>
      </c>
      <c r="M15" s="228">
        <f t="shared" si="13"/>
        <v>20</v>
      </c>
      <c r="N15" s="28"/>
      <c r="O15" s="28"/>
      <c r="P15" s="28"/>
      <c r="Q15" s="28"/>
      <c r="R15" s="28"/>
      <c r="S15" s="28"/>
      <c r="T15" s="28"/>
      <c r="U15" s="28"/>
      <c r="V15" s="28"/>
      <c r="W15" s="28"/>
      <c r="X15" s="28"/>
      <c r="Y15" s="28"/>
      <c r="Z15" s="28"/>
    </row>
    <row r="16" spans="1:26" ht="30" customHeight="1" x14ac:dyDescent="0.3">
      <c r="A16" s="620"/>
      <c r="B16" s="329" t="s">
        <v>529</v>
      </c>
      <c r="C16" s="331">
        <v>30</v>
      </c>
      <c r="D16" s="143">
        <v>0</v>
      </c>
      <c r="E16" s="177">
        <v>0</v>
      </c>
      <c r="F16" s="331">
        <v>0</v>
      </c>
      <c r="G16" s="331">
        <v>0</v>
      </c>
      <c r="H16" s="228">
        <f t="shared" si="11"/>
        <v>-30</v>
      </c>
      <c r="I16" s="194">
        <f>SUMIFS('Cashbook ING'!$B:$B, 'Cashbook ING'!$A:$A, "ART_")</f>
        <v>0</v>
      </c>
      <c r="J16" s="331">
        <f>SUMIFS('Cashbook Wix'!$B$2:$B$7106,'Cashbook Wix'!$A$2:$A$7106,"ART_")</f>
        <v>0</v>
      </c>
      <c r="K16" s="194">
        <v>0</v>
      </c>
      <c r="L16" s="228">
        <f t="shared" si="12"/>
        <v>0</v>
      </c>
      <c r="M16" s="228">
        <f t="shared" si="13"/>
        <v>30</v>
      </c>
      <c r="N16" s="28"/>
      <c r="O16" s="28"/>
      <c r="P16" s="28"/>
      <c r="Q16" s="28"/>
      <c r="R16" s="28"/>
      <c r="S16" s="28"/>
      <c r="T16" s="28"/>
      <c r="U16" s="28"/>
      <c r="V16" s="28"/>
      <c r="W16" s="28"/>
      <c r="X16" s="28"/>
      <c r="Y16" s="28"/>
      <c r="Z16" s="28"/>
    </row>
    <row r="17" spans="1:26" ht="30" customHeight="1" x14ac:dyDescent="0.3">
      <c r="A17" s="620"/>
      <c r="B17" s="334" t="s">
        <v>509</v>
      </c>
      <c r="C17" s="194">
        <v>0</v>
      </c>
      <c r="D17" s="143">
        <v>30</v>
      </c>
      <c r="E17" s="194">
        <v>1.5</v>
      </c>
      <c r="F17" s="194">
        <f t="shared" ref="F17:F18" si="14">D17*E17</f>
        <v>45</v>
      </c>
      <c r="G17" s="194">
        <v>0</v>
      </c>
      <c r="H17" s="228">
        <f t="shared" si="11"/>
        <v>45</v>
      </c>
      <c r="I17" s="194">
        <f>SUMIFS('Cashbook ING'!$B:$B, 'Cashbook ING'!$A:$A, "ART_")</f>
        <v>0</v>
      </c>
      <c r="J17" s="331">
        <f>SUMIFS('Cashbook Wix'!$B$2:$B$7106,'Cashbook Wix'!$A$2:$A$7106,"ART_")</f>
        <v>0</v>
      </c>
      <c r="K17" s="194">
        <v>0</v>
      </c>
      <c r="L17" s="228">
        <f t="shared" si="12"/>
        <v>0</v>
      </c>
      <c r="M17" s="228">
        <f t="shared" si="13"/>
        <v>-45</v>
      </c>
      <c r="N17" s="28"/>
      <c r="O17" s="28"/>
      <c r="P17" s="28"/>
      <c r="Q17" s="28"/>
      <c r="R17" s="28"/>
      <c r="S17" s="28"/>
      <c r="T17" s="28"/>
      <c r="U17" s="28"/>
      <c r="V17" s="28"/>
      <c r="W17" s="28"/>
      <c r="X17" s="28"/>
      <c r="Y17" s="28"/>
      <c r="Z17" s="28"/>
    </row>
    <row r="18" spans="1:26" ht="30" customHeight="1" x14ac:dyDescent="0.3">
      <c r="A18" s="620"/>
      <c r="B18" s="334" t="s">
        <v>510</v>
      </c>
      <c r="C18" s="194">
        <v>0</v>
      </c>
      <c r="D18" s="143">
        <v>5</v>
      </c>
      <c r="E18" s="194">
        <v>2.5</v>
      </c>
      <c r="F18" s="194">
        <f t="shared" si="14"/>
        <v>12.5</v>
      </c>
      <c r="G18" s="194">
        <v>0</v>
      </c>
      <c r="H18" s="228">
        <f t="shared" si="11"/>
        <v>12.5</v>
      </c>
      <c r="I18" s="194">
        <f>SUMIFS('Cashbook ING'!$B:$B, 'Cashbook ING'!$A:$A, "ART_")</f>
        <v>0</v>
      </c>
      <c r="J18" s="194">
        <f>SUMIFS('Cashbook Wix'!$B$2:$B$7106,'Cashbook Wix'!$A$2:$A$7106,"ART_")</f>
        <v>0</v>
      </c>
      <c r="K18" s="194">
        <v>0</v>
      </c>
      <c r="L18" s="228">
        <f t="shared" si="12"/>
        <v>0</v>
      </c>
      <c r="M18" s="228">
        <f t="shared" si="13"/>
        <v>-12.5</v>
      </c>
      <c r="N18" s="28"/>
      <c r="O18" s="28"/>
      <c r="P18" s="28"/>
      <c r="Q18" s="28"/>
      <c r="R18" s="28"/>
      <c r="S18" s="28"/>
      <c r="T18" s="28"/>
      <c r="U18" s="28"/>
      <c r="V18" s="28"/>
      <c r="W18" s="28"/>
      <c r="X18" s="28"/>
      <c r="Y18" s="28"/>
      <c r="Z18" s="28"/>
    </row>
    <row r="19" spans="1:26" ht="30" customHeight="1" x14ac:dyDescent="0.3">
      <c r="A19" s="621"/>
      <c r="B19" s="335" t="s">
        <v>511</v>
      </c>
      <c r="C19" s="235">
        <f>SUM(C14:C18)</f>
        <v>165</v>
      </c>
      <c r="D19" s="234">
        <f>SUM(D17:D18)</f>
        <v>35</v>
      </c>
      <c r="E19" s="235">
        <v>0</v>
      </c>
      <c r="F19" s="233">
        <f t="shared" ref="F19:M19" si="15">SUM(F14:F18)</f>
        <v>57.5</v>
      </c>
      <c r="G19" s="233">
        <f t="shared" si="15"/>
        <v>115</v>
      </c>
      <c r="H19" s="236">
        <f t="shared" si="15"/>
        <v>7.5</v>
      </c>
      <c r="I19" s="235">
        <f t="shared" si="15"/>
        <v>0</v>
      </c>
      <c r="J19" s="233">
        <f t="shared" si="15"/>
        <v>0</v>
      </c>
      <c r="K19" s="233">
        <f t="shared" si="15"/>
        <v>0</v>
      </c>
      <c r="L19" s="236">
        <f t="shared" si="15"/>
        <v>0</v>
      </c>
      <c r="M19" s="232">
        <f t="shared" si="15"/>
        <v>-7.5</v>
      </c>
      <c r="N19" s="336"/>
      <c r="O19" s="28"/>
      <c r="P19" s="28"/>
      <c r="Q19" s="28"/>
      <c r="R19" s="28"/>
      <c r="S19" s="28"/>
      <c r="T19" s="28"/>
      <c r="U19" s="28"/>
      <c r="V19" s="28"/>
      <c r="W19" s="28"/>
      <c r="X19" s="28"/>
      <c r="Y19" s="28"/>
      <c r="Z19" s="28"/>
    </row>
    <row r="20" spans="1:26" ht="30" customHeight="1" x14ac:dyDescent="0.3">
      <c r="A20" s="649" t="s">
        <v>571</v>
      </c>
      <c r="B20" s="337" t="s">
        <v>572</v>
      </c>
      <c r="C20" s="338">
        <v>30</v>
      </c>
      <c r="D20" s="227">
        <v>0</v>
      </c>
      <c r="E20" s="226">
        <v>0</v>
      </c>
      <c r="F20" s="338">
        <v>0</v>
      </c>
      <c r="G20" s="338">
        <v>0</v>
      </c>
      <c r="H20" s="276">
        <f t="shared" ref="H20:H23" si="16">F20+G20-C20</f>
        <v>-30</v>
      </c>
      <c r="I20" s="226">
        <f>SUMIFS('Cashbook ING'!$B:$B, 'Cashbook ING'!$A:$A, "ART_")</f>
        <v>0</v>
      </c>
      <c r="J20" s="338">
        <f>SUMIFS('Cashbook Wix'!$B$2:$B$7106,'Cashbook Wix'!$A$2:$A$7106,"ART_")</f>
        <v>0</v>
      </c>
      <c r="K20" s="226">
        <v>0</v>
      </c>
      <c r="L20" s="276">
        <f t="shared" ref="L20:L23" si="17">J20+K20+I20</f>
        <v>0</v>
      </c>
      <c r="M20" s="332">
        <f t="shared" ref="M20:M23" si="18">L20-H20</f>
        <v>30</v>
      </c>
      <c r="N20" s="28"/>
      <c r="O20" s="28"/>
      <c r="P20" s="28"/>
      <c r="Q20" s="28"/>
      <c r="R20" s="28"/>
      <c r="S20" s="28"/>
      <c r="T20" s="28"/>
      <c r="U20" s="28"/>
      <c r="V20" s="28"/>
      <c r="W20" s="28"/>
      <c r="X20" s="28"/>
      <c r="Y20" s="28"/>
      <c r="Z20" s="28"/>
    </row>
    <row r="21" spans="1:26" ht="30" customHeight="1" x14ac:dyDescent="0.3">
      <c r="A21" s="643"/>
      <c r="B21" s="329" t="s">
        <v>573</v>
      </c>
      <c r="C21" s="331">
        <v>5</v>
      </c>
      <c r="D21" s="143">
        <v>0</v>
      </c>
      <c r="E21" s="194">
        <v>0</v>
      </c>
      <c r="F21" s="331">
        <v>0</v>
      </c>
      <c r="G21" s="331">
        <v>0</v>
      </c>
      <c r="H21" s="228">
        <f t="shared" si="16"/>
        <v>-5</v>
      </c>
      <c r="I21" s="194">
        <f>SUMIFS('Cashbook ING'!$B:$B, 'Cashbook ING'!$A:$A, "ART_")</f>
        <v>0</v>
      </c>
      <c r="J21" s="331">
        <f>SUMIFS('Cashbook Wix'!$B$2:$B$7106,'Cashbook Wix'!$A$2:$A$7106,"ART_")</f>
        <v>0</v>
      </c>
      <c r="K21" s="194">
        <v>0</v>
      </c>
      <c r="L21" s="228">
        <f t="shared" si="17"/>
        <v>0</v>
      </c>
      <c r="M21" s="333">
        <f t="shared" si="18"/>
        <v>5</v>
      </c>
      <c r="N21" s="28"/>
      <c r="O21" s="28"/>
      <c r="P21" s="28"/>
      <c r="Q21" s="28"/>
      <c r="R21" s="28"/>
      <c r="S21" s="28"/>
      <c r="T21" s="28"/>
      <c r="U21" s="28"/>
      <c r="V21" s="28"/>
      <c r="W21" s="28"/>
      <c r="X21" s="28"/>
      <c r="Y21" s="28"/>
      <c r="Z21" s="28"/>
    </row>
    <row r="22" spans="1:26" ht="30" customHeight="1" x14ac:dyDescent="0.3">
      <c r="A22" s="643"/>
      <c r="B22" s="334" t="s">
        <v>509</v>
      </c>
      <c r="C22" s="194">
        <v>0</v>
      </c>
      <c r="D22" s="143">
        <v>50</v>
      </c>
      <c r="E22" s="194">
        <v>2</v>
      </c>
      <c r="F22" s="194">
        <f t="shared" ref="F22:F23" si="19">E22*D22</f>
        <v>100</v>
      </c>
      <c r="G22" s="194">
        <v>0</v>
      </c>
      <c r="H22" s="228">
        <f t="shared" si="16"/>
        <v>100</v>
      </c>
      <c r="I22" s="194">
        <f>SUMIFS('Cashbook ING'!$B:$B, 'Cashbook ING'!$A:$A, "ART_")</f>
        <v>0</v>
      </c>
      <c r="J22" s="194">
        <f>SUMIFS('Cashbook Wix'!$B$2:$B$7106,'Cashbook Wix'!$A$2:$A$7106,"ART_")</f>
        <v>0</v>
      </c>
      <c r="K22" s="194">
        <v>0</v>
      </c>
      <c r="L22" s="228">
        <f t="shared" si="17"/>
        <v>0</v>
      </c>
      <c r="M22" s="333">
        <f t="shared" si="18"/>
        <v>-100</v>
      </c>
      <c r="N22" s="28"/>
      <c r="O22" s="28"/>
      <c r="P22" s="28"/>
      <c r="Q22" s="28"/>
      <c r="R22" s="28"/>
      <c r="S22" s="28"/>
      <c r="T22" s="28"/>
      <c r="U22" s="28"/>
      <c r="V22" s="28"/>
      <c r="W22" s="28"/>
      <c r="X22" s="28"/>
      <c r="Y22" s="28"/>
      <c r="Z22" s="28"/>
    </row>
    <row r="23" spans="1:26" ht="30" customHeight="1" x14ac:dyDescent="0.3">
      <c r="A23" s="643"/>
      <c r="B23" s="334" t="s">
        <v>510</v>
      </c>
      <c r="C23" s="194">
        <v>0</v>
      </c>
      <c r="D23" s="143">
        <v>0</v>
      </c>
      <c r="E23" s="194">
        <v>0</v>
      </c>
      <c r="F23" s="194">
        <f t="shared" si="19"/>
        <v>0</v>
      </c>
      <c r="G23" s="194">
        <v>0</v>
      </c>
      <c r="H23" s="228">
        <f t="shared" si="16"/>
        <v>0</v>
      </c>
      <c r="I23" s="194">
        <f>SUMIFS('Cashbook ING'!$B:$B, 'Cashbook ING'!$A:$A, "ART_")</f>
        <v>0</v>
      </c>
      <c r="J23" s="194">
        <f>SUMIFS('Cashbook Wix'!$B$2:$B$7106,'Cashbook Wix'!$A$2:$A$7106,"ART_")</f>
        <v>0</v>
      </c>
      <c r="K23" s="194">
        <v>0</v>
      </c>
      <c r="L23" s="228">
        <f t="shared" si="17"/>
        <v>0</v>
      </c>
      <c r="M23" s="333">
        <f t="shared" si="18"/>
        <v>0</v>
      </c>
      <c r="N23" s="28"/>
      <c r="O23" s="28"/>
      <c r="P23" s="28"/>
      <c r="Q23" s="28"/>
      <c r="R23" s="28"/>
      <c r="S23" s="28"/>
      <c r="T23" s="28"/>
      <c r="U23" s="28"/>
      <c r="V23" s="28"/>
      <c r="W23" s="28"/>
      <c r="X23" s="28"/>
      <c r="Y23" s="28"/>
      <c r="Z23" s="28"/>
    </row>
    <row r="24" spans="1:26" ht="30" customHeight="1" x14ac:dyDescent="0.3">
      <c r="A24" s="644"/>
      <c r="B24" s="340" t="s">
        <v>511</v>
      </c>
      <c r="C24" s="235">
        <f>SUM(C20:C23)</f>
        <v>35</v>
      </c>
      <c r="D24" s="234">
        <f>SUM(D22:D23)</f>
        <v>50</v>
      </c>
      <c r="E24" s="235">
        <v>0</v>
      </c>
      <c r="F24" s="233">
        <f t="shared" ref="F24:M24" si="20">SUM(F20:F23)</f>
        <v>100</v>
      </c>
      <c r="G24" s="233">
        <f t="shared" si="20"/>
        <v>0</v>
      </c>
      <c r="H24" s="236">
        <f t="shared" si="20"/>
        <v>65</v>
      </c>
      <c r="I24" s="235">
        <f t="shared" si="20"/>
        <v>0</v>
      </c>
      <c r="J24" s="233">
        <f t="shared" si="20"/>
        <v>0</v>
      </c>
      <c r="K24" s="233">
        <f t="shared" si="20"/>
        <v>0</v>
      </c>
      <c r="L24" s="236">
        <f t="shared" si="20"/>
        <v>0</v>
      </c>
      <c r="M24" s="236">
        <f t="shared" si="20"/>
        <v>-65</v>
      </c>
      <c r="N24" s="280"/>
      <c r="O24" s="28"/>
      <c r="P24" s="28"/>
      <c r="Q24" s="28"/>
      <c r="R24" s="28"/>
      <c r="S24" s="28"/>
      <c r="T24" s="28"/>
      <c r="U24" s="28"/>
      <c r="V24" s="28"/>
      <c r="W24" s="28"/>
      <c r="X24" s="28"/>
      <c r="Y24" s="28"/>
      <c r="Z24" s="28"/>
    </row>
    <row r="25" spans="1:26" ht="30" customHeight="1" x14ac:dyDescent="0.3">
      <c r="A25" s="651" t="s">
        <v>574</v>
      </c>
      <c r="B25" s="337" t="s">
        <v>575</v>
      </c>
      <c r="C25" s="341">
        <v>700</v>
      </c>
      <c r="D25" s="342">
        <v>0</v>
      </c>
      <c r="E25" s="277">
        <v>0</v>
      </c>
      <c r="F25" s="341">
        <v>0</v>
      </c>
      <c r="G25" s="341">
        <v>650</v>
      </c>
      <c r="H25" s="242">
        <f t="shared" ref="H25:H26" si="21">G25+F25-C25</f>
        <v>-50</v>
      </c>
      <c r="I25" s="226">
        <f>SUMIFS('Cashbook ING'!$B:$B, 'Cashbook ING'!$A:$A, "ART_")</f>
        <v>0</v>
      </c>
      <c r="J25" s="226">
        <f>SUMIFS('Cashbook Wix'!$B$2:$B$7106,'Cashbook Wix'!$A$2:$A$7106,"ART_")</f>
        <v>0</v>
      </c>
      <c r="K25" s="226">
        <v>0</v>
      </c>
      <c r="L25" s="343">
        <f t="shared" ref="L25:L26" si="22">I25+J25+K25</f>
        <v>0</v>
      </c>
      <c r="M25" s="242">
        <f t="shared" ref="M25:M26" si="23">L25-H25</f>
        <v>50</v>
      </c>
      <c r="N25" s="280"/>
      <c r="O25" s="28"/>
      <c r="P25" s="28"/>
      <c r="Q25" s="28"/>
      <c r="R25" s="28"/>
      <c r="S25" s="28"/>
      <c r="T25" s="28"/>
      <c r="U25" s="28"/>
      <c r="V25" s="28"/>
      <c r="W25" s="28"/>
      <c r="X25" s="28"/>
      <c r="Y25" s="28"/>
      <c r="Z25" s="28"/>
    </row>
    <row r="26" spans="1:26" ht="30" customHeight="1" x14ac:dyDescent="0.3">
      <c r="A26" s="643"/>
      <c r="B26" s="334" t="s">
        <v>509</v>
      </c>
      <c r="C26" s="193">
        <v>0</v>
      </c>
      <c r="D26" s="160">
        <v>28</v>
      </c>
      <c r="E26" s="193">
        <v>0</v>
      </c>
      <c r="F26" s="193">
        <f>E26*D26</f>
        <v>0</v>
      </c>
      <c r="G26" s="193">
        <v>0</v>
      </c>
      <c r="H26" s="228">
        <f t="shared" si="21"/>
        <v>0</v>
      </c>
      <c r="I26" s="194">
        <f>SUMIFS('Cashbook ING'!$B:$B, 'Cashbook ING'!$A:$A, "ART_")</f>
        <v>0</v>
      </c>
      <c r="J26" s="194">
        <f>SUMIFS('Cashbook Wix'!$B$2:$B$7106,'Cashbook Wix'!$A$2:$A$7106,"ART_")</f>
        <v>0</v>
      </c>
      <c r="K26" s="194">
        <v>0</v>
      </c>
      <c r="L26" s="145">
        <f t="shared" si="22"/>
        <v>0</v>
      </c>
      <c r="M26" s="228">
        <f t="shared" si="23"/>
        <v>0</v>
      </c>
      <c r="N26" s="280"/>
      <c r="O26" s="28"/>
      <c r="P26" s="28"/>
      <c r="Q26" s="28"/>
      <c r="R26" s="28"/>
      <c r="S26" s="28"/>
      <c r="T26" s="28"/>
      <c r="U26" s="28"/>
      <c r="V26" s="28"/>
      <c r="W26" s="28"/>
      <c r="X26" s="28"/>
      <c r="Y26" s="28"/>
      <c r="Z26" s="28"/>
    </row>
    <row r="27" spans="1:26" ht="30" customHeight="1" x14ac:dyDescent="0.3">
      <c r="A27" s="644"/>
      <c r="B27" s="335" t="s">
        <v>511</v>
      </c>
      <c r="C27" s="235">
        <f t="shared" ref="C27:D27" si="24">SUM(C25:C26)</f>
        <v>700</v>
      </c>
      <c r="D27" s="234">
        <f t="shared" si="24"/>
        <v>28</v>
      </c>
      <c r="E27" s="235">
        <v>0</v>
      </c>
      <c r="F27" s="235">
        <f t="shared" ref="F27:M27" si="25">SUM(F25:F26)</f>
        <v>0</v>
      </c>
      <c r="G27" s="235">
        <f t="shared" si="25"/>
        <v>650</v>
      </c>
      <c r="H27" s="232">
        <f t="shared" si="25"/>
        <v>-50</v>
      </c>
      <c r="I27" s="235">
        <f t="shared" si="25"/>
        <v>0</v>
      </c>
      <c r="J27" s="235">
        <f t="shared" si="25"/>
        <v>0</v>
      </c>
      <c r="K27" s="235">
        <f t="shared" si="25"/>
        <v>0</v>
      </c>
      <c r="L27" s="232">
        <f t="shared" si="25"/>
        <v>0</v>
      </c>
      <c r="M27" s="232">
        <f t="shared" si="25"/>
        <v>50</v>
      </c>
      <c r="N27" s="280"/>
      <c r="O27" s="28"/>
      <c r="P27" s="28"/>
      <c r="Q27" s="28"/>
      <c r="R27" s="28"/>
      <c r="S27" s="28"/>
      <c r="T27" s="28"/>
      <c r="U27" s="28"/>
      <c r="V27" s="28"/>
      <c r="W27" s="28"/>
      <c r="X27" s="28"/>
      <c r="Y27" s="28"/>
      <c r="Z27" s="28"/>
    </row>
    <row r="28" spans="1:26" ht="30" customHeight="1" x14ac:dyDescent="0.3">
      <c r="A28" s="650" t="s">
        <v>576</v>
      </c>
      <c r="B28" s="337" t="s">
        <v>577</v>
      </c>
      <c r="C28" s="338">
        <v>10</v>
      </c>
      <c r="D28" s="227">
        <v>0</v>
      </c>
      <c r="E28" s="226">
        <v>0</v>
      </c>
      <c r="F28" s="338">
        <v>0</v>
      </c>
      <c r="G28" s="338">
        <v>0</v>
      </c>
      <c r="H28" s="242">
        <f t="shared" ref="H28:H31" si="26">G28+F28-C28</f>
        <v>-10</v>
      </c>
      <c r="I28" s="226">
        <f>SUMIFS('Cashbook ING'!$B:$B, 'Cashbook ING'!$A:$A, "ART_")</f>
        <v>0</v>
      </c>
      <c r="J28" s="226">
        <f>SUMIFS('Cashbook Wix'!$B$2:$B$7106,'Cashbook Wix'!$A$2:$A$7106,"ART_")</f>
        <v>0</v>
      </c>
      <c r="K28" s="344">
        <v>0</v>
      </c>
      <c r="L28" s="276">
        <f t="shared" ref="L28:L29" si="27">J28+K28+I28</f>
        <v>0</v>
      </c>
      <c r="M28" s="242">
        <f t="shared" ref="M28:M31" si="28">L28-H28</f>
        <v>10</v>
      </c>
      <c r="N28" s="28"/>
      <c r="O28" s="28"/>
      <c r="P28" s="28"/>
      <c r="Q28" s="28"/>
      <c r="R28" s="28"/>
      <c r="S28" s="28"/>
      <c r="T28" s="28"/>
      <c r="U28" s="28"/>
      <c r="V28" s="28"/>
      <c r="W28" s="28"/>
      <c r="X28" s="28"/>
      <c r="Y28" s="28"/>
      <c r="Z28" s="28"/>
    </row>
    <row r="29" spans="1:26" ht="30" customHeight="1" x14ac:dyDescent="0.3">
      <c r="A29" s="620"/>
      <c r="B29" s="329" t="s">
        <v>578</v>
      </c>
      <c r="C29" s="331">
        <v>10</v>
      </c>
      <c r="D29" s="143">
        <v>0</v>
      </c>
      <c r="E29" s="194">
        <v>0</v>
      </c>
      <c r="F29" s="331">
        <v>0</v>
      </c>
      <c r="G29" s="331">
        <v>0</v>
      </c>
      <c r="H29" s="228">
        <f t="shared" si="26"/>
        <v>-10</v>
      </c>
      <c r="I29" s="194">
        <f>SUMIFS('Cashbook ING'!$B:$B, 'Cashbook ING'!$A:$A, "ART_")</f>
        <v>0</v>
      </c>
      <c r="J29" s="194">
        <f>SUMIFS('Cashbook Wix'!$B$2:$B$7106,'Cashbook Wix'!$A$2:$A$7106,"ART_")</f>
        <v>0</v>
      </c>
      <c r="K29" s="193">
        <v>0</v>
      </c>
      <c r="L29" s="228">
        <f t="shared" si="27"/>
        <v>0</v>
      </c>
      <c r="M29" s="228">
        <f t="shared" si="28"/>
        <v>10</v>
      </c>
      <c r="N29" s="28"/>
      <c r="O29" s="28"/>
      <c r="P29" s="28"/>
      <c r="Q29" s="28"/>
      <c r="R29" s="28"/>
      <c r="S29" s="28"/>
      <c r="T29" s="28"/>
      <c r="U29" s="28"/>
      <c r="V29" s="28"/>
      <c r="W29" s="28"/>
      <c r="X29" s="28"/>
      <c r="Y29" s="28"/>
      <c r="Z29" s="28"/>
    </row>
    <row r="30" spans="1:26" ht="30" customHeight="1" x14ac:dyDescent="0.3">
      <c r="A30" s="620"/>
      <c r="B30" s="334" t="s">
        <v>509</v>
      </c>
      <c r="C30" s="194">
        <v>0</v>
      </c>
      <c r="D30" s="143">
        <v>25</v>
      </c>
      <c r="E30" s="194">
        <v>1.25</v>
      </c>
      <c r="F30" s="194">
        <f t="shared" ref="F30:F31" si="29">E30*D30</f>
        <v>31.25</v>
      </c>
      <c r="G30" s="194">
        <v>0</v>
      </c>
      <c r="H30" s="228">
        <f t="shared" si="26"/>
        <v>31.25</v>
      </c>
      <c r="I30" s="194">
        <f>SUMIFS('Cashbook ING'!$B:$B, 'Cashbook ING'!$A:$A, "ART_")</f>
        <v>0</v>
      </c>
      <c r="J30" s="194">
        <f>SUMIFS('Cashbook Wix'!$B$2:$B$7106,'Cashbook Wix'!$A$2:$A$7106,"ART_")</f>
        <v>0</v>
      </c>
      <c r="K30" s="194">
        <v>0</v>
      </c>
      <c r="L30" s="228">
        <f t="shared" ref="L30:L31" si="30">I30+J30+K30</f>
        <v>0</v>
      </c>
      <c r="M30" s="228">
        <f t="shared" si="28"/>
        <v>-31.25</v>
      </c>
      <c r="N30" s="28"/>
      <c r="O30" s="28"/>
      <c r="P30" s="28"/>
      <c r="Q30" s="28"/>
      <c r="R30" s="28"/>
      <c r="S30" s="28"/>
      <c r="T30" s="28"/>
      <c r="U30" s="28"/>
      <c r="V30" s="28"/>
      <c r="W30" s="28"/>
      <c r="X30" s="28"/>
      <c r="Y30" s="28"/>
      <c r="Z30" s="28"/>
    </row>
    <row r="31" spans="1:26" ht="30" customHeight="1" x14ac:dyDescent="0.3">
      <c r="A31" s="620"/>
      <c r="B31" s="334" t="s">
        <v>510</v>
      </c>
      <c r="C31" s="194">
        <v>0</v>
      </c>
      <c r="D31" s="143">
        <v>5</v>
      </c>
      <c r="E31" s="194">
        <v>2.5</v>
      </c>
      <c r="F31" s="194">
        <f t="shared" si="29"/>
        <v>12.5</v>
      </c>
      <c r="G31" s="194">
        <v>0</v>
      </c>
      <c r="H31" s="228">
        <f t="shared" si="26"/>
        <v>12.5</v>
      </c>
      <c r="I31" s="194">
        <f>SUMIFS('Cashbook ING'!$B:$B, 'Cashbook ING'!$A:$A, "ART_")</f>
        <v>0</v>
      </c>
      <c r="J31" s="194">
        <f>SUMIFS('Cashbook Wix'!$B$2:$B$7106,'Cashbook Wix'!$A$2:$A$7106,"ART_")</f>
        <v>0</v>
      </c>
      <c r="K31" s="194">
        <v>0</v>
      </c>
      <c r="L31" s="228">
        <f t="shared" si="30"/>
        <v>0</v>
      </c>
      <c r="M31" s="228">
        <f t="shared" si="28"/>
        <v>-12.5</v>
      </c>
      <c r="N31" s="28"/>
      <c r="O31" s="28"/>
      <c r="P31" s="28"/>
      <c r="Q31" s="28"/>
      <c r="R31" s="28"/>
      <c r="S31" s="28"/>
      <c r="T31" s="28"/>
      <c r="U31" s="28"/>
      <c r="V31" s="28"/>
      <c r="W31" s="28"/>
      <c r="X31" s="28"/>
      <c r="Y31" s="28"/>
      <c r="Z31" s="28"/>
    </row>
    <row r="32" spans="1:26" ht="30" customHeight="1" x14ac:dyDescent="0.3">
      <c r="A32" s="621"/>
      <c r="B32" s="335" t="s">
        <v>579</v>
      </c>
      <c r="C32" s="235">
        <f>SUM(C28:C31)</f>
        <v>20</v>
      </c>
      <c r="D32" s="234">
        <f>SUM(D30:D31)</f>
        <v>30</v>
      </c>
      <c r="E32" s="235">
        <v>0</v>
      </c>
      <c r="F32" s="233">
        <f t="shared" ref="F32:M32" si="31">SUM(F28:F31)</f>
        <v>43.75</v>
      </c>
      <c r="G32" s="233">
        <f t="shared" si="31"/>
        <v>0</v>
      </c>
      <c r="H32" s="236">
        <f t="shared" si="31"/>
        <v>23.75</v>
      </c>
      <c r="I32" s="235">
        <f t="shared" si="31"/>
        <v>0</v>
      </c>
      <c r="J32" s="235">
        <f t="shared" si="31"/>
        <v>0</v>
      </c>
      <c r="K32" s="235">
        <f t="shared" si="31"/>
        <v>0</v>
      </c>
      <c r="L32" s="236">
        <f t="shared" si="31"/>
        <v>0</v>
      </c>
      <c r="M32" s="236">
        <f t="shared" si="31"/>
        <v>-23.75</v>
      </c>
      <c r="N32" s="280"/>
      <c r="O32" s="28"/>
      <c r="P32" s="28"/>
      <c r="Q32" s="28"/>
      <c r="R32" s="28"/>
      <c r="S32" s="28"/>
      <c r="T32" s="28"/>
      <c r="U32" s="28"/>
      <c r="V32" s="28"/>
      <c r="W32" s="28"/>
      <c r="X32" s="28"/>
      <c r="Y32" s="28"/>
      <c r="Z32" s="28"/>
    </row>
    <row r="33" spans="1:26" ht="26.25" customHeight="1" x14ac:dyDescent="0.3">
      <c r="A33" s="650" t="s">
        <v>580</v>
      </c>
      <c r="B33" s="337" t="s">
        <v>517</v>
      </c>
      <c r="C33" s="338">
        <v>60</v>
      </c>
      <c r="D33" s="227">
        <v>0</v>
      </c>
      <c r="E33" s="226">
        <v>0</v>
      </c>
      <c r="F33" s="338">
        <v>0</v>
      </c>
      <c r="G33" s="338">
        <v>0</v>
      </c>
      <c r="H33" s="345">
        <f t="shared" ref="H33:H37" si="32">G33+F33-C33</f>
        <v>-60</v>
      </c>
      <c r="I33" s="254">
        <f>SUMIFS('Cashbook ING'!$B:$B, 'Cashbook ING'!$A:$A, "ART_")</f>
        <v>0</v>
      </c>
      <c r="J33" s="226">
        <f>SUMIFS('Cashbook Wix'!$B$2:$B$7106,'Cashbook Wix'!$A$2:$A$7106,"ART_")</f>
        <v>0</v>
      </c>
      <c r="K33" s="344">
        <v>0</v>
      </c>
      <c r="L33" s="345">
        <f t="shared" ref="L33:L37" si="33">J33+K33+I33</f>
        <v>0</v>
      </c>
      <c r="M33" s="346">
        <f t="shared" ref="M33:M37" si="34">L33-H33</f>
        <v>60</v>
      </c>
      <c r="N33" s="28"/>
      <c r="O33" s="28"/>
      <c r="P33" s="28"/>
      <c r="Q33" s="28"/>
      <c r="R33" s="28"/>
      <c r="S33" s="28"/>
      <c r="T33" s="28"/>
      <c r="U33" s="28"/>
      <c r="V33" s="28"/>
      <c r="W33" s="28"/>
      <c r="X33" s="28"/>
      <c r="Y33" s="28"/>
      <c r="Z33" s="28"/>
    </row>
    <row r="34" spans="1:26" ht="26.25" customHeight="1" x14ac:dyDescent="0.3">
      <c r="A34" s="620"/>
      <c r="B34" s="329" t="s">
        <v>529</v>
      </c>
      <c r="C34" s="331">
        <v>10</v>
      </c>
      <c r="D34" s="143">
        <v>0</v>
      </c>
      <c r="E34" s="194">
        <v>0</v>
      </c>
      <c r="F34" s="331">
        <v>0</v>
      </c>
      <c r="G34" s="331">
        <v>0</v>
      </c>
      <c r="H34" s="255">
        <f t="shared" si="32"/>
        <v>-10</v>
      </c>
      <c r="I34" s="195">
        <f>SUMIFS('Cashbook ING'!$B:$B, 'Cashbook ING'!$A:$A, "ART_")</f>
        <v>0</v>
      </c>
      <c r="J34" s="194">
        <f>SUMIFS('Cashbook Wix'!$B$2:$B$7106,'Cashbook Wix'!$A$2:$A$7106,"ART_")</f>
        <v>0</v>
      </c>
      <c r="K34" s="193">
        <v>0</v>
      </c>
      <c r="L34" s="255">
        <f t="shared" si="33"/>
        <v>0</v>
      </c>
      <c r="M34" s="347">
        <f t="shared" si="34"/>
        <v>10</v>
      </c>
      <c r="N34" s="28"/>
      <c r="O34" s="28"/>
      <c r="P34" s="28"/>
      <c r="Q34" s="28"/>
      <c r="R34" s="28"/>
      <c r="S34" s="28"/>
      <c r="T34" s="28"/>
      <c r="U34" s="28"/>
      <c r="V34" s="28"/>
      <c r="W34" s="28"/>
      <c r="X34" s="28"/>
      <c r="Y34" s="28"/>
      <c r="Z34" s="28"/>
    </row>
    <row r="35" spans="1:26" ht="26.25" customHeight="1" x14ac:dyDescent="0.3">
      <c r="A35" s="620"/>
      <c r="B35" s="329" t="s">
        <v>581</v>
      </c>
      <c r="C35" s="331">
        <v>50</v>
      </c>
      <c r="D35" s="143">
        <v>0</v>
      </c>
      <c r="E35" s="194">
        <v>0</v>
      </c>
      <c r="F35" s="331">
        <v>0</v>
      </c>
      <c r="G35" s="331">
        <v>0</v>
      </c>
      <c r="H35" s="255">
        <f t="shared" si="32"/>
        <v>-50</v>
      </c>
      <c r="I35" s="195">
        <f>SUMIFS('Cashbook ING'!$B:$B, 'Cashbook ING'!$A:$A, "ART_")</f>
        <v>0</v>
      </c>
      <c r="J35" s="194">
        <v>0</v>
      </c>
      <c r="K35" s="193">
        <v>0</v>
      </c>
      <c r="L35" s="255">
        <f t="shared" si="33"/>
        <v>0</v>
      </c>
      <c r="M35" s="347">
        <f t="shared" si="34"/>
        <v>50</v>
      </c>
      <c r="N35" s="28"/>
      <c r="O35" s="28"/>
      <c r="P35" s="28"/>
      <c r="Q35" s="28"/>
      <c r="R35" s="28"/>
      <c r="S35" s="28"/>
      <c r="T35" s="28"/>
      <c r="U35" s="28"/>
      <c r="V35" s="28"/>
      <c r="W35" s="28"/>
      <c r="X35" s="28"/>
      <c r="Y35" s="28"/>
      <c r="Z35" s="28"/>
    </row>
    <row r="36" spans="1:26" ht="26.25" customHeight="1" x14ac:dyDescent="0.3">
      <c r="A36" s="620"/>
      <c r="B36" s="334" t="s">
        <v>509</v>
      </c>
      <c r="C36" s="194">
        <v>0</v>
      </c>
      <c r="D36" s="143">
        <v>35</v>
      </c>
      <c r="E36" s="194">
        <v>4</v>
      </c>
      <c r="F36" s="194">
        <f t="shared" ref="F36:F37" si="35">E36*D36</f>
        <v>140</v>
      </c>
      <c r="G36" s="194">
        <v>0</v>
      </c>
      <c r="H36" s="255">
        <f t="shared" si="32"/>
        <v>140</v>
      </c>
      <c r="I36" s="195">
        <f>SUMIFS('Cashbook ING'!$B:$B, 'Cashbook ING'!$A:$A, "ART_")</f>
        <v>0</v>
      </c>
      <c r="J36" s="194">
        <f>SUMIFS('Cashbook Wix'!$B$2:$B$7106,'Cashbook Wix'!$A$2:$A$7106,"ART_")</f>
        <v>0</v>
      </c>
      <c r="K36" s="194">
        <v>0</v>
      </c>
      <c r="L36" s="255">
        <f t="shared" si="33"/>
        <v>0</v>
      </c>
      <c r="M36" s="347">
        <f t="shared" si="34"/>
        <v>-140</v>
      </c>
      <c r="N36" s="28"/>
      <c r="O36" s="28"/>
      <c r="P36" s="28"/>
      <c r="Q36" s="28"/>
      <c r="R36" s="28"/>
      <c r="S36" s="28"/>
      <c r="T36" s="28"/>
      <c r="U36" s="28"/>
      <c r="V36" s="28"/>
      <c r="W36" s="28"/>
      <c r="X36" s="28"/>
      <c r="Y36" s="28"/>
      <c r="Z36" s="28"/>
    </row>
    <row r="37" spans="1:26" ht="26.25" customHeight="1" x14ac:dyDescent="0.3">
      <c r="A37" s="620"/>
      <c r="B37" s="334" t="s">
        <v>510</v>
      </c>
      <c r="C37" s="194">
        <v>0</v>
      </c>
      <c r="D37" s="143">
        <v>5</v>
      </c>
      <c r="E37" s="194">
        <v>6</v>
      </c>
      <c r="F37" s="194">
        <f t="shared" si="35"/>
        <v>30</v>
      </c>
      <c r="G37" s="194">
        <v>0</v>
      </c>
      <c r="H37" s="228">
        <f t="shared" si="32"/>
        <v>30</v>
      </c>
      <c r="I37" s="194">
        <f>SUMIFS('Cashbook ING'!$B:$B, 'Cashbook ING'!$A:$A, "ART_")</f>
        <v>0</v>
      </c>
      <c r="J37" s="194">
        <f>SUMIFS('Cashbook Wix'!$B$2:$B$7106,'Cashbook Wix'!$A$2:$A$7106,"ART_")</f>
        <v>0</v>
      </c>
      <c r="K37" s="194">
        <v>0</v>
      </c>
      <c r="L37" s="255">
        <f t="shared" si="33"/>
        <v>0</v>
      </c>
      <c r="M37" s="347">
        <f t="shared" si="34"/>
        <v>-30</v>
      </c>
      <c r="N37" s="28"/>
      <c r="O37" s="28"/>
      <c r="P37" s="28"/>
      <c r="Q37" s="28"/>
      <c r="R37" s="28"/>
      <c r="S37" s="28"/>
      <c r="T37" s="28"/>
      <c r="U37" s="28"/>
      <c r="V37" s="28"/>
      <c r="W37" s="28"/>
      <c r="X37" s="28"/>
      <c r="Y37" s="28"/>
      <c r="Z37" s="28"/>
    </row>
    <row r="38" spans="1:26" ht="26.25" customHeight="1" x14ac:dyDescent="0.3">
      <c r="A38" s="621"/>
      <c r="B38" s="335" t="s">
        <v>579</v>
      </c>
      <c r="C38" s="235">
        <f>SUM(C33:C37)</f>
        <v>120</v>
      </c>
      <c r="D38" s="234">
        <f>SUM(D36:D37)</f>
        <v>40</v>
      </c>
      <c r="E38" s="235">
        <v>0</v>
      </c>
      <c r="F38" s="233">
        <f t="shared" ref="F38:M38" si="36">SUM(F33:F37)</f>
        <v>170</v>
      </c>
      <c r="G38" s="233">
        <f t="shared" si="36"/>
        <v>0</v>
      </c>
      <c r="H38" s="236">
        <f t="shared" si="36"/>
        <v>50</v>
      </c>
      <c r="I38" s="235">
        <f t="shared" si="36"/>
        <v>0</v>
      </c>
      <c r="J38" s="235">
        <f t="shared" si="36"/>
        <v>0</v>
      </c>
      <c r="K38" s="235">
        <f t="shared" si="36"/>
        <v>0</v>
      </c>
      <c r="L38" s="236">
        <f t="shared" si="36"/>
        <v>0</v>
      </c>
      <c r="M38" s="236">
        <f t="shared" si="36"/>
        <v>-50</v>
      </c>
      <c r="N38" s="28"/>
      <c r="O38" s="28"/>
      <c r="P38" s="28"/>
      <c r="Q38" s="28"/>
      <c r="R38" s="28"/>
      <c r="S38" s="28"/>
      <c r="T38" s="28"/>
      <c r="U38" s="28"/>
      <c r="V38" s="28"/>
      <c r="W38" s="28"/>
      <c r="X38" s="28"/>
      <c r="Y38" s="28"/>
      <c r="Z38" s="28"/>
    </row>
    <row r="39" spans="1:26" ht="26.25" customHeight="1" x14ac:dyDescent="0.3">
      <c r="A39" s="651" t="s">
        <v>582</v>
      </c>
      <c r="B39" s="337" t="s">
        <v>583</v>
      </c>
      <c r="C39" s="341">
        <v>100</v>
      </c>
      <c r="D39" s="342">
        <v>0</v>
      </c>
      <c r="E39" s="277">
        <v>0</v>
      </c>
      <c r="F39" s="341">
        <v>0</v>
      </c>
      <c r="G39" s="341">
        <v>50</v>
      </c>
      <c r="H39" s="242">
        <f t="shared" ref="H39:H40" si="37">G39+F39-C39</f>
        <v>-50</v>
      </c>
      <c r="I39" s="226">
        <f>SUMIFS('Cashbook ING'!$B:$B, 'Cashbook ING'!$A:$A, "ART_")</f>
        <v>0</v>
      </c>
      <c r="J39" s="226">
        <f>SUMIFS('Cashbook Wix'!$B$2:$B$7106,'Cashbook Wix'!$A$2:$A$7106,"ART_")</f>
        <v>0</v>
      </c>
      <c r="K39" s="226">
        <v>0</v>
      </c>
      <c r="L39" s="343">
        <f t="shared" ref="L39:L40" si="38">I39+J39+K39</f>
        <v>0</v>
      </c>
      <c r="M39" s="242">
        <f t="shared" ref="M39:M40" si="39">L39-H39</f>
        <v>50</v>
      </c>
      <c r="N39" s="28"/>
      <c r="O39" s="28"/>
      <c r="P39" s="28"/>
      <c r="Q39" s="28"/>
      <c r="R39" s="28"/>
      <c r="S39" s="28"/>
      <c r="T39" s="28"/>
      <c r="U39" s="28"/>
      <c r="V39" s="28"/>
      <c r="W39" s="28"/>
      <c r="X39" s="28"/>
      <c r="Y39" s="28"/>
      <c r="Z39" s="28"/>
    </row>
    <row r="40" spans="1:26" ht="26.25" customHeight="1" x14ac:dyDescent="0.3">
      <c r="A40" s="643"/>
      <c r="B40" s="334" t="s">
        <v>509</v>
      </c>
      <c r="C40" s="193">
        <v>0</v>
      </c>
      <c r="D40" s="160">
        <v>0</v>
      </c>
      <c r="E40" s="193">
        <v>0</v>
      </c>
      <c r="F40" s="193">
        <f>E40*D40</f>
        <v>0</v>
      </c>
      <c r="G40" s="193">
        <v>0</v>
      </c>
      <c r="H40" s="228">
        <f t="shared" si="37"/>
        <v>0</v>
      </c>
      <c r="I40" s="194">
        <f>SUMIFS('Cashbook ING'!$B:$B, 'Cashbook ING'!$A:$A, "ART_")</f>
        <v>0</v>
      </c>
      <c r="J40" s="194">
        <f>SUMIFS('Cashbook Wix'!$B$2:$B$7106,'Cashbook Wix'!$A$2:$A$7106,"ART_")</f>
        <v>0</v>
      </c>
      <c r="K40" s="194">
        <v>0</v>
      </c>
      <c r="L40" s="145">
        <f t="shared" si="38"/>
        <v>0</v>
      </c>
      <c r="M40" s="228">
        <f t="shared" si="39"/>
        <v>0</v>
      </c>
      <c r="N40" s="28"/>
      <c r="O40" s="28"/>
      <c r="P40" s="28"/>
      <c r="Q40" s="28"/>
      <c r="R40" s="28"/>
      <c r="S40" s="28"/>
      <c r="T40" s="28"/>
      <c r="U40" s="28"/>
      <c r="V40" s="28"/>
      <c r="W40" s="28"/>
      <c r="X40" s="28"/>
      <c r="Y40" s="28"/>
      <c r="Z40" s="28"/>
    </row>
    <row r="41" spans="1:26" ht="33" customHeight="1" x14ac:dyDescent="0.3">
      <c r="A41" s="644"/>
      <c r="B41" s="335" t="s">
        <v>511</v>
      </c>
      <c r="C41" s="235">
        <f t="shared" ref="C41:D41" si="40">SUM(C39:C40)</f>
        <v>100</v>
      </c>
      <c r="D41" s="234">
        <f t="shared" si="40"/>
        <v>0</v>
      </c>
      <c r="E41" s="235">
        <v>0</v>
      </c>
      <c r="F41" s="235">
        <f t="shared" ref="F41:M41" si="41">SUM(F39:F40)</f>
        <v>0</v>
      </c>
      <c r="G41" s="235">
        <f t="shared" si="41"/>
        <v>50</v>
      </c>
      <c r="H41" s="232">
        <f t="shared" si="41"/>
        <v>-50</v>
      </c>
      <c r="I41" s="235">
        <f t="shared" si="41"/>
        <v>0</v>
      </c>
      <c r="J41" s="235">
        <f t="shared" si="41"/>
        <v>0</v>
      </c>
      <c r="K41" s="235">
        <f t="shared" si="41"/>
        <v>0</v>
      </c>
      <c r="L41" s="232">
        <f t="shared" si="41"/>
        <v>0</v>
      </c>
      <c r="M41" s="232">
        <f t="shared" si="41"/>
        <v>50</v>
      </c>
      <c r="N41" s="28"/>
      <c r="O41" s="28"/>
      <c r="P41" s="28"/>
      <c r="Q41" s="28"/>
      <c r="R41" s="28"/>
      <c r="S41" s="28"/>
      <c r="T41" s="28"/>
      <c r="U41" s="28"/>
      <c r="V41" s="28"/>
      <c r="W41" s="28"/>
      <c r="X41" s="28"/>
      <c r="Y41" s="28"/>
      <c r="Z41" s="28"/>
    </row>
    <row r="42" spans="1:26" ht="30" customHeight="1" x14ac:dyDescent="0.35">
      <c r="A42" s="647" t="s">
        <v>584</v>
      </c>
      <c r="B42" s="337" t="s">
        <v>585</v>
      </c>
      <c r="C42" s="341">
        <v>100</v>
      </c>
      <c r="D42" s="342">
        <v>0</v>
      </c>
      <c r="E42" s="277">
        <v>0</v>
      </c>
      <c r="F42" s="341">
        <v>0</v>
      </c>
      <c r="G42" s="341">
        <v>50</v>
      </c>
      <c r="H42" s="242">
        <f t="shared" ref="H42:H43" si="42">G42+F42-C42</f>
        <v>-50</v>
      </c>
      <c r="I42" s="226">
        <f>SUMIFS('Cashbook ING'!$B:$B, 'Cashbook ING'!$A:$A, "ART_")</f>
        <v>0</v>
      </c>
      <c r="J42" s="226">
        <f>SUMIFS('Cashbook Wix'!$B$2:$B$7106,'Cashbook Wix'!$A$2:$A$7106,"ART_")</f>
        <v>0</v>
      </c>
      <c r="K42" s="226">
        <v>0</v>
      </c>
      <c r="L42" s="343">
        <f t="shared" ref="L42:L43" si="43">I42+J42+K42</f>
        <v>0</v>
      </c>
      <c r="M42" s="242">
        <f t="shared" ref="M42:M43" si="44">L42-H42</f>
        <v>50</v>
      </c>
      <c r="N42" s="165"/>
      <c r="O42" s="165"/>
      <c r="P42" s="165"/>
      <c r="Q42" s="165"/>
      <c r="R42" s="165"/>
      <c r="S42" s="165"/>
      <c r="T42" s="165"/>
      <c r="U42" s="165"/>
      <c r="V42" s="165"/>
      <c r="W42" s="165"/>
      <c r="X42" s="165"/>
      <c r="Y42" s="165"/>
      <c r="Z42" s="165"/>
    </row>
    <row r="43" spans="1:26" ht="26.25" customHeight="1" x14ac:dyDescent="0.3">
      <c r="A43" s="620"/>
      <c r="B43" s="334" t="s">
        <v>509</v>
      </c>
      <c r="C43" s="193">
        <v>0</v>
      </c>
      <c r="D43" s="160">
        <v>0</v>
      </c>
      <c r="E43" s="193">
        <v>0</v>
      </c>
      <c r="F43" s="193">
        <f>E43*D43</f>
        <v>0</v>
      </c>
      <c r="G43" s="193">
        <v>0</v>
      </c>
      <c r="H43" s="228">
        <f t="shared" si="42"/>
        <v>0</v>
      </c>
      <c r="I43" s="194">
        <f>SUMIFS('Cashbook ING'!$B:$B, 'Cashbook ING'!$A:$A, "ART_")</f>
        <v>0</v>
      </c>
      <c r="J43" s="194">
        <f>SUMIFS('Cashbook Wix'!$B$2:$B$7106,'Cashbook Wix'!$A$2:$A$7106,"ART_")</f>
        <v>0</v>
      </c>
      <c r="K43" s="194">
        <v>0</v>
      </c>
      <c r="L43" s="145">
        <f t="shared" si="43"/>
        <v>0</v>
      </c>
      <c r="M43" s="228">
        <f t="shared" si="44"/>
        <v>0</v>
      </c>
      <c r="N43" s="28"/>
      <c r="O43" s="28"/>
      <c r="P43" s="28"/>
      <c r="Q43" s="28"/>
      <c r="R43" s="28"/>
      <c r="S43" s="28"/>
      <c r="T43" s="28"/>
      <c r="U43" s="28"/>
      <c r="V43" s="28"/>
      <c r="W43" s="28"/>
      <c r="X43" s="28"/>
      <c r="Y43" s="28"/>
      <c r="Z43" s="28"/>
    </row>
    <row r="44" spans="1:26" ht="26.25" customHeight="1" x14ac:dyDescent="0.3">
      <c r="A44" s="621"/>
      <c r="B44" s="348" t="s">
        <v>511</v>
      </c>
      <c r="C44" s="349">
        <f t="shared" ref="C44:D44" si="45">SUM(C42:C43)</f>
        <v>100</v>
      </c>
      <c r="D44" s="350">
        <f t="shared" si="45"/>
        <v>0</v>
      </c>
      <c r="E44" s="349">
        <v>0</v>
      </c>
      <c r="F44" s="349">
        <f t="shared" ref="F44:M44" si="46">SUM(F42:F43)</f>
        <v>0</v>
      </c>
      <c r="G44" s="349">
        <f t="shared" si="46"/>
        <v>50</v>
      </c>
      <c r="H44" s="232">
        <f t="shared" si="46"/>
        <v>-50</v>
      </c>
      <c r="I44" s="349">
        <f t="shared" si="46"/>
        <v>0</v>
      </c>
      <c r="J44" s="349">
        <f t="shared" si="46"/>
        <v>0</v>
      </c>
      <c r="K44" s="349">
        <f t="shared" si="46"/>
        <v>0</v>
      </c>
      <c r="L44" s="351">
        <f t="shared" si="46"/>
        <v>0</v>
      </c>
      <c r="M44" s="232">
        <f t="shared" si="46"/>
        <v>50</v>
      </c>
      <c r="N44" s="28"/>
      <c r="O44" s="28"/>
      <c r="P44" s="28"/>
      <c r="Q44" s="28"/>
      <c r="R44" s="28"/>
      <c r="S44" s="28"/>
      <c r="T44" s="28"/>
      <c r="U44" s="28"/>
      <c r="V44" s="28"/>
      <c r="W44" s="28"/>
      <c r="X44" s="28"/>
      <c r="Y44" s="28"/>
      <c r="Z44" s="28"/>
    </row>
    <row r="45" spans="1:26" ht="26.25" customHeight="1" x14ac:dyDescent="0.35">
      <c r="A45" s="352"/>
      <c r="B45" s="353" t="s">
        <v>450</v>
      </c>
      <c r="C45" s="328">
        <f t="shared" ref="C45:M45" si="47">SUM(C7+C13+C19+C24+C32+C27+C38+C44+C41)</f>
        <v>1540</v>
      </c>
      <c r="D45" s="328">
        <f t="shared" si="47"/>
        <v>288</v>
      </c>
      <c r="E45" s="328">
        <f t="shared" si="47"/>
        <v>0</v>
      </c>
      <c r="F45" s="328">
        <f t="shared" si="47"/>
        <v>501.25</v>
      </c>
      <c r="G45" s="328">
        <f t="shared" si="47"/>
        <v>1065</v>
      </c>
      <c r="H45" s="328">
        <f t="shared" si="47"/>
        <v>26.25</v>
      </c>
      <c r="I45" s="328">
        <f t="shared" si="47"/>
        <v>-99.66</v>
      </c>
      <c r="J45" s="328">
        <f t="shared" si="47"/>
        <v>123.41000000000004</v>
      </c>
      <c r="K45" s="328">
        <f t="shared" si="47"/>
        <v>0</v>
      </c>
      <c r="L45" s="328">
        <f t="shared" si="47"/>
        <v>23.750000000000043</v>
      </c>
      <c r="M45" s="328">
        <f t="shared" si="47"/>
        <v>-2.4999999999999574</v>
      </c>
      <c r="N45" s="28"/>
      <c r="O45" s="28"/>
      <c r="P45" s="28"/>
      <c r="Q45" s="28"/>
      <c r="R45" s="28"/>
      <c r="S45" s="28"/>
      <c r="T45" s="28"/>
      <c r="U45" s="28"/>
      <c r="V45" s="28"/>
      <c r="W45" s="28"/>
      <c r="X45" s="28"/>
      <c r="Y45" s="28"/>
      <c r="Z45" s="28"/>
    </row>
    <row r="46" spans="1:26" ht="26.25" customHeight="1"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26.25" customHeight="1"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26.25" customHeight="1"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26.25" customHeight="1" x14ac:dyDescent="0.3">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26.25" customHeight="1" x14ac:dyDescent="0.3">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26.25" customHeight="1" x14ac:dyDescent="0.3">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26.25" customHeight="1" x14ac:dyDescent="0.3">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26.25" customHeight="1" x14ac:dyDescent="0.3">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26.25" customHeight="1" x14ac:dyDescent="0.3">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26.25" customHeight="1" x14ac:dyDescent="0.3">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26.25" customHeight="1" x14ac:dyDescent="0.3">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26.25" customHeight="1" x14ac:dyDescent="0.3">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26.25" customHeight="1" x14ac:dyDescent="0.3">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26.25" customHeight="1" x14ac:dyDescent="0.3">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26.25" customHeight="1" x14ac:dyDescent="0.3">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26.25" customHeight="1" x14ac:dyDescent="0.3">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26.25" customHeight="1" x14ac:dyDescent="0.3">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26.25" customHeight="1" x14ac:dyDescent="0.3">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26.25" customHeight="1" x14ac:dyDescent="0.3">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26.25" customHeight="1" x14ac:dyDescent="0.3">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26.25" customHeight="1" x14ac:dyDescent="0.3">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26.25" customHeight="1" x14ac:dyDescent="0.3">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26.25" customHeight="1" x14ac:dyDescent="0.3">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26.25" customHeight="1" x14ac:dyDescent="0.3">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26.25" customHeight="1" x14ac:dyDescent="0.3">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26.25" customHeight="1" x14ac:dyDescent="0.3">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26.25" customHeight="1" x14ac:dyDescent="0.3">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26.25" customHeight="1" x14ac:dyDescent="0.3">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26.25" customHeight="1" x14ac:dyDescent="0.3">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26.25" customHeight="1" x14ac:dyDescent="0.3">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26.25" customHeight="1" x14ac:dyDescent="0.3">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26.25" customHeight="1" x14ac:dyDescent="0.3">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26.25" customHeight="1" x14ac:dyDescent="0.3">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26.25" customHeight="1" x14ac:dyDescent="0.3">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26.25" customHeight="1" x14ac:dyDescent="0.3">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26.25" customHeight="1" x14ac:dyDescent="0.3">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26.25" customHeight="1" x14ac:dyDescent="0.3">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26.25" customHeight="1" x14ac:dyDescent="0.3">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26.25" customHeight="1" x14ac:dyDescent="0.3">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26.25" customHeight="1" x14ac:dyDescent="0.3">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26.25" customHeight="1" x14ac:dyDescent="0.3">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26.25" customHeight="1" x14ac:dyDescent="0.3">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26.25" customHeight="1" x14ac:dyDescent="0.3">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26.25" customHeight="1" x14ac:dyDescent="0.3">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26.25" customHeight="1" x14ac:dyDescent="0.3">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26.25" customHeight="1" x14ac:dyDescent="0.3">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26.25" customHeight="1" x14ac:dyDescent="0.3">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26.25" customHeight="1" x14ac:dyDescent="0.3">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26.25" customHeight="1" x14ac:dyDescent="0.3">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26.25" customHeight="1" x14ac:dyDescent="0.3">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26.25" customHeight="1" x14ac:dyDescent="0.3">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26.25" customHeight="1" x14ac:dyDescent="0.3">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26.25" customHeight="1" x14ac:dyDescent="0.3">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26.25" customHeight="1" x14ac:dyDescent="0.3">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26.25" customHeight="1" x14ac:dyDescent="0.3">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26.25" customHeight="1" x14ac:dyDescent="0.3">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26.25" customHeight="1" x14ac:dyDescent="0.3">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26.25" customHeight="1" x14ac:dyDescent="0.3">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26.25" customHeight="1" x14ac:dyDescent="0.3">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26.25" customHeight="1" x14ac:dyDescent="0.3">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26.25" customHeight="1" x14ac:dyDescent="0.3">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26.25" customHeight="1" x14ac:dyDescent="0.3">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26.25" customHeight="1" x14ac:dyDescent="0.3">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26.25" customHeight="1" x14ac:dyDescent="0.3">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26.25" customHeight="1" x14ac:dyDescent="0.3">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26.25" customHeight="1" x14ac:dyDescent="0.3">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26.25" customHeight="1" x14ac:dyDescent="0.3">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26.25" customHeight="1" x14ac:dyDescent="0.3">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26.25" customHeight="1" x14ac:dyDescent="0.3">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26.25" customHeight="1" x14ac:dyDescent="0.3">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26.25" customHeight="1" x14ac:dyDescent="0.3">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26.25" customHeight="1" x14ac:dyDescent="0.3">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26.25" customHeight="1" x14ac:dyDescent="0.3">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26.25" customHeight="1" x14ac:dyDescent="0.3">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26.25" customHeight="1" x14ac:dyDescent="0.3">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26.25" customHeight="1" x14ac:dyDescent="0.3">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26.25" customHeight="1" x14ac:dyDescent="0.3">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26.25" customHeight="1" x14ac:dyDescent="0.3">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26.25" customHeight="1" x14ac:dyDescent="0.3">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26.25" customHeight="1" x14ac:dyDescent="0.3">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26.25" customHeight="1" x14ac:dyDescent="0.3">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26.25" customHeight="1" x14ac:dyDescent="0.3">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26.25" customHeight="1" x14ac:dyDescent="0.3">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26.25" customHeight="1" x14ac:dyDescent="0.3">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26.25" customHeight="1" x14ac:dyDescent="0.3">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26.25" customHeight="1" x14ac:dyDescent="0.3">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26.25" customHeight="1" x14ac:dyDescent="0.3">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26.25" customHeight="1" x14ac:dyDescent="0.3">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26.25" customHeight="1" x14ac:dyDescent="0.3">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26.25" customHeight="1" x14ac:dyDescent="0.3">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26.25" customHeight="1" x14ac:dyDescent="0.3">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26.25" customHeight="1" x14ac:dyDescent="0.3">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26.25" customHeight="1" x14ac:dyDescent="0.3">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26.25" customHeight="1" x14ac:dyDescent="0.3">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26.25" customHeight="1" x14ac:dyDescent="0.3">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26.25" customHeight="1" x14ac:dyDescent="0.3">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26.25" customHeight="1" x14ac:dyDescent="0.3">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26.25" customHeight="1" x14ac:dyDescent="0.3">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26.25" customHeight="1" x14ac:dyDescent="0.3">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26.25" customHeight="1" x14ac:dyDescent="0.3">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26.25" customHeight="1" x14ac:dyDescent="0.3">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26.25" customHeight="1" x14ac:dyDescent="0.3">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26.25" customHeight="1" x14ac:dyDescent="0.3">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26.25" customHeight="1" x14ac:dyDescent="0.3">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26.25" customHeight="1" x14ac:dyDescent="0.3">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26.25" customHeight="1" x14ac:dyDescent="0.3">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26.25" customHeight="1" x14ac:dyDescent="0.3">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26.25" customHeight="1" x14ac:dyDescent="0.3">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26.25" customHeight="1" x14ac:dyDescent="0.3">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26.25" customHeight="1" x14ac:dyDescent="0.3">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26.25" customHeight="1" x14ac:dyDescent="0.3">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26.25" customHeight="1" x14ac:dyDescent="0.3">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26.25" customHeight="1" x14ac:dyDescent="0.3">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26.25" customHeight="1" x14ac:dyDescent="0.3">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26.25" customHeight="1" x14ac:dyDescent="0.3">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26.25" customHeight="1" x14ac:dyDescent="0.3">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26.25" customHeight="1" x14ac:dyDescent="0.3">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26.25" customHeight="1" x14ac:dyDescent="0.3">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26.25" customHeight="1" x14ac:dyDescent="0.3">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26.25" customHeight="1" x14ac:dyDescent="0.3">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26.25" customHeight="1" x14ac:dyDescent="0.3">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26.25" customHeight="1" x14ac:dyDescent="0.3">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26.25" customHeight="1" x14ac:dyDescent="0.3">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26.25" customHeight="1" x14ac:dyDescent="0.3">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26.25" customHeight="1" x14ac:dyDescent="0.3">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26.25" customHeight="1" x14ac:dyDescent="0.3">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26.25" customHeight="1" x14ac:dyDescent="0.3">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26.25" customHeight="1" x14ac:dyDescent="0.3">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26.25" customHeight="1" x14ac:dyDescent="0.3">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26.25" customHeight="1" x14ac:dyDescent="0.3">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26.25" customHeight="1" x14ac:dyDescent="0.3">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26.25" customHeight="1" x14ac:dyDescent="0.3">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26.25" customHeight="1" x14ac:dyDescent="0.3">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26.25" customHeight="1" x14ac:dyDescent="0.3">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26.25" customHeight="1" x14ac:dyDescent="0.3">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26.25" customHeight="1" x14ac:dyDescent="0.3">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26.25" customHeight="1" x14ac:dyDescent="0.3">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26.25" customHeight="1" x14ac:dyDescent="0.3">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26.25" customHeight="1" x14ac:dyDescent="0.3">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26.25" customHeight="1" x14ac:dyDescent="0.3">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26.25" customHeight="1" x14ac:dyDescent="0.3">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26.25" customHeight="1" x14ac:dyDescent="0.3">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26.25" customHeight="1" x14ac:dyDescent="0.3">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26.25" customHeight="1" x14ac:dyDescent="0.3">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26.25" customHeight="1" x14ac:dyDescent="0.3">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26.25" customHeight="1" x14ac:dyDescent="0.3">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26.25" customHeight="1" x14ac:dyDescent="0.3">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26.25" customHeight="1" x14ac:dyDescent="0.3">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26.25" customHeight="1" x14ac:dyDescent="0.3">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26.25" customHeight="1" x14ac:dyDescent="0.3">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26.25" customHeight="1" x14ac:dyDescent="0.3">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26.25" customHeight="1" x14ac:dyDescent="0.3">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26.25" customHeight="1" x14ac:dyDescent="0.3">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26.25" customHeight="1" x14ac:dyDescent="0.3">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26.25" customHeight="1" x14ac:dyDescent="0.3">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26.25" customHeight="1" x14ac:dyDescent="0.3">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26.25" customHeight="1" x14ac:dyDescent="0.3">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26.25" customHeight="1" x14ac:dyDescent="0.3">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26.25" customHeight="1" x14ac:dyDescent="0.3">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26.25" customHeight="1" x14ac:dyDescent="0.3">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26.25" customHeight="1" x14ac:dyDescent="0.3">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26.25" customHeight="1" x14ac:dyDescent="0.3">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26.25" customHeight="1" x14ac:dyDescent="0.3">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26.25" customHeight="1" x14ac:dyDescent="0.3">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26.25" customHeight="1" x14ac:dyDescent="0.3">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26.25" customHeight="1" x14ac:dyDescent="0.3">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26.25" customHeight="1" x14ac:dyDescent="0.3">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26.25" customHeight="1" x14ac:dyDescent="0.3">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26.25" customHeight="1" x14ac:dyDescent="0.3">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26.25" customHeight="1" x14ac:dyDescent="0.3">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26.25" customHeight="1" x14ac:dyDescent="0.3">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26.25" customHeight="1" x14ac:dyDescent="0.3">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26.25" customHeight="1" x14ac:dyDescent="0.3">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26.25" customHeight="1" x14ac:dyDescent="0.3">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26.25" customHeight="1" x14ac:dyDescent="0.3">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26.25" customHeight="1" x14ac:dyDescent="0.3">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26.25" customHeight="1" x14ac:dyDescent="0.3">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26.25" customHeight="1" x14ac:dyDescent="0.3">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26.25" customHeight="1" x14ac:dyDescent="0.3">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26.25" customHeight="1" x14ac:dyDescent="0.3">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26.25" customHeight="1" x14ac:dyDescent="0.3">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26.25" customHeight="1" x14ac:dyDescent="0.3">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26.25" customHeight="1" x14ac:dyDescent="0.3">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26.25" customHeight="1" x14ac:dyDescent="0.3">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26.25" customHeight="1" x14ac:dyDescent="0.3">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26.25" customHeight="1" x14ac:dyDescent="0.3">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26.25" customHeight="1" x14ac:dyDescent="0.3">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26.25" customHeight="1" x14ac:dyDescent="0.3">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26.25" customHeight="1" x14ac:dyDescent="0.3">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26.25" customHeight="1" x14ac:dyDescent="0.3">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26.25" customHeight="1" x14ac:dyDescent="0.3">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26.25" customHeight="1" x14ac:dyDescent="0.3">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26.25" customHeight="1" x14ac:dyDescent="0.3">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26.25" customHeight="1" x14ac:dyDescent="0.3">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26.25" customHeight="1" x14ac:dyDescent="0.3">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26.25" customHeight="1" x14ac:dyDescent="0.3">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26.25" customHeight="1" x14ac:dyDescent="0.3">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26.25" customHeight="1" x14ac:dyDescent="0.3">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26.25" customHeight="1" x14ac:dyDescent="0.3">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26.25" customHeight="1" x14ac:dyDescent="0.3">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26.25" customHeight="1" x14ac:dyDescent="0.3">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26.25" customHeight="1" x14ac:dyDescent="0.3">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26.25" customHeight="1" x14ac:dyDescent="0.3">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26.25" customHeight="1" x14ac:dyDescent="0.3">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26.25" customHeight="1" x14ac:dyDescent="0.3">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26.25" customHeight="1" x14ac:dyDescent="0.3">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26.25" customHeight="1" x14ac:dyDescent="0.3">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26.25" customHeight="1" x14ac:dyDescent="0.3">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26.25" customHeight="1" x14ac:dyDescent="0.3">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26.25" customHeight="1" x14ac:dyDescent="0.3">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26.25" customHeight="1" x14ac:dyDescent="0.3">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26.25" customHeight="1" x14ac:dyDescent="0.3">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26.25" customHeight="1" x14ac:dyDescent="0.3">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26.25" customHeight="1" x14ac:dyDescent="0.3">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26.25" customHeight="1" x14ac:dyDescent="0.3">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26.25" customHeight="1" x14ac:dyDescent="0.3">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26.25" customHeight="1" x14ac:dyDescent="0.3">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26.25" customHeight="1" x14ac:dyDescent="0.3">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26.25" customHeight="1" x14ac:dyDescent="0.3">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26.25" customHeight="1" x14ac:dyDescent="0.3">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26.25" customHeight="1" x14ac:dyDescent="0.3">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26.25" customHeight="1" x14ac:dyDescent="0.3">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26.25" customHeight="1" x14ac:dyDescent="0.3">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26.25" customHeight="1" x14ac:dyDescent="0.3">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26.25" customHeight="1" x14ac:dyDescent="0.3">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26.25" customHeight="1" x14ac:dyDescent="0.3">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26.25" customHeight="1" x14ac:dyDescent="0.3">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26.25" customHeight="1" x14ac:dyDescent="0.3">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26.25" customHeight="1" x14ac:dyDescent="0.3">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26.25" customHeight="1" x14ac:dyDescent="0.3">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26.25" customHeight="1" x14ac:dyDescent="0.3">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26.25" customHeight="1" x14ac:dyDescent="0.3">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26.25" customHeight="1" x14ac:dyDescent="0.3">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26.25" customHeight="1" x14ac:dyDescent="0.3">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26.25" customHeight="1" x14ac:dyDescent="0.3">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26.25" customHeight="1" x14ac:dyDescent="0.3">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26.25" customHeight="1" x14ac:dyDescent="0.3">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26.25" customHeight="1" x14ac:dyDescent="0.3">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26.25" customHeight="1" x14ac:dyDescent="0.3">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26.25" customHeight="1" x14ac:dyDescent="0.3">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26.25" customHeight="1" x14ac:dyDescent="0.3">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26.25" customHeight="1" x14ac:dyDescent="0.3">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26.25" customHeight="1" x14ac:dyDescent="0.3">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26.25" customHeight="1" x14ac:dyDescent="0.3">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26.25" customHeight="1" x14ac:dyDescent="0.3">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26.25" customHeight="1" x14ac:dyDescent="0.3">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26.25" customHeight="1" x14ac:dyDescent="0.3">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26.25" customHeight="1" x14ac:dyDescent="0.3">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26.25" customHeight="1" x14ac:dyDescent="0.3">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26.25" customHeight="1" x14ac:dyDescent="0.3">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26.25" customHeight="1" x14ac:dyDescent="0.3">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26.25" customHeight="1" x14ac:dyDescent="0.3">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26.25" customHeight="1" x14ac:dyDescent="0.3">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26.25" customHeight="1" x14ac:dyDescent="0.3">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26.25" customHeight="1" x14ac:dyDescent="0.3">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26.25" customHeight="1" x14ac:dyDescent="0.3">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26.25" customHeight="1" x14ac:dyDescent="0.3">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26.25" customHeight="1" x14ac:dyDescent="0.3">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26.25" customHeight="1" x14ac:dyDescent="0.3">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26.25" customHeight="1" x14ac:dyDescent="0.3">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26.25" customHeight="1" x14ac:dyDescent="0.3">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26.25" customHeight="1" x14ac:dyDescent="0.3">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26.25" customHeight="1" x14ac:dyDescent="0.3">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26.25" customHeight="1" x14ac:dyDescent="0.3">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26.25" customHeight="1" x14ac:dyDescent="0.3">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26.25" customHeight="1" x14ac:dyDescent="0.3">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26.25" customHeight="1" x14ac:dyDescent="0.3">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26.25" customHeight="1" x14ac:dyDescent="0.3">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26.25" customHeight="1" x14ac:dyDescent="0.3">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26.25" customHeight="1" x14ac:dyDescent="0.3">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26.25" customHeight="1" x14ac:dyDescent="0.3">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26.25" customHeight="1" x14ac:dyDescent="0.3">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26.25" customHeight="1" x14ac:dyDescent="0.3">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26.25" customHeight="1" x14ac:dyDescent="0.3">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26.25" customHeight="1" x14ac:dyDescent="0.3">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26.25" customHeight="1" x14ac:dyDescent="0.3">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26.25" customHeight="1" x14ac:dyDescent="0.3">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26.25" customHeight="1" x14ac:dyDescent="0.3">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26.25" customHeight="1" x14ac:dyDescent="0.3">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26.25" customHeight="1" x14ac:dyDescent="0.3">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26.25" customHeight="1" x14ac:dyDescent="0.3">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26.25" customHeight="1" x14ac:dyDescent="0.3">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26.25" customHeight="1" x14ac:dyDescent="0.3">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26.25" customHeight="1" x14ac:dyDescent="0.3">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26.25" customHeight="1" x14ac:dyDescent="0.3">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26.25" customHeight="1" x14ac:dyDescent="0.3">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26.25" customHeight="1" x14ac:dyDescent="0.3">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26.25" customHeight="1" x14ac:dyDescent="0.3">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26.25" customHeight="1" x14ac:dyDescent="0.3">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26.25" customHeight="1" x14ac:dyDescent="0.3">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26.25" customHeight="1" x14ac:dyDescent="0.3">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26.25" customHeight="1" x14ac:dyDescent="0.3">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26.25" customHeight="1" x14ac:dyDescent="0.3">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26.25" customHeight="1" x14ac:dyDescent="0.3">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26.25" customHeight="1" x14ac:dyDescent="0.3">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26.25" customHeight="1" x14ac:dyDescent="0.3">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26.25" customHeight="1" x14ac:dyDescent="0.3">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26.25" customHeight="1" x14ac:dyDescent="0.3">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26.25" customHeight="1" x14ac:dyDescent="0.3">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26.25" customHeight="1" x14ac:dyDescent="0.3">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26.25" customHeight="1" x14ac:dyDescent="0.3">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26.25" customHeight="1" x14ac:dyDescent="0.3">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26.25" customHeight="1" x14ac:dyDescent="0.3">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26.25" customHeight="1" x14ac:dyDescent="0.3">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26.25" customHeight="1" x14ac:dyDescent="0.3">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26.25" customHeight="1" x14ac:dyDescent="0.3">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26.25" customHeight="1" x14ac:dyDescent="0.3">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26.25" customHeight="1" x14ac:dyDescent="0.3">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26.25" customHeight="1" x14ac:dyDescent="0.3">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26.25" customHeight="1" x14ac:dyDescent="0.3">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26.25" customHeight="1" x14ac:dyDescent="0.3">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26.25" customHeight="1" x14ac:dyDescent="0.3">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26.25" customHeight="1" x14ac:dyDescent="0.3">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26.25" customHeight="1" x14ac:dyDescent="0.3">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26.25" customHeight="1" x14ac:dyDescent="0.3">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26.25" customHeight="1" x14ac:dyDescent="0.3">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26.25" customHeight="1" x14ac:dyDescent="0.3">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26.25" customHeight="1" x14ac:dyDescent="0.3">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26.25" customHeight="1" x14ac:dyDescent="0.3">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26.25" customHeight="1" x14ac:dyDescent="0.3">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26.25" customHeight="1" x14ac:dyDescent="0.3">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26.25" customHeight="1" x14ac:dyDescent="0.3">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26.25" customHeight="1" x14ac:dyDescent="0.3">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26.25" customHeight="1" x14ac:dyDescent="0.3">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26.25" customHeight="1" x14ac:dyDescent="0.3">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26.25" customHeight="1" x14ac:dyDescent="0.3">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26.25" customHeight="1" x14ac:dyDescent="0.3">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26.25" customHeight="1" x14ac:dyDescent="0.3">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26.25" customHeight="1" x14ac:dyDescent="0.3">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26.25" customHeight="1" x14ac:dyDescent="0.3">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26.25" customHeight="1" x14ac:dyDescent="0.3">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26.25" customHeight="1" x14ac:dyDescent="0.3">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26.25" customHeight="1" x14ac:dyDescent="0.3">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26.25" customHeight="1" x14ac:dyDescent="0.3">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26.25" customHeight="1" x14ac:dyDescent="0.3">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26.25" customHeight="1" x14ac:dyDescent="0.3">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26.25" customHeight="1" x14ac:dyDescent="0.3">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26.25" customHeight="1" x14ac:dyDescent="0.3">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26.25" customHeight="1" x14ac:dyDescent="0.3">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26.25" customHeight="1" x14ac:dyDescent="0.3">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26.25" customHeight="1" x14ac:dyDescent="0.3">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26.25" customHeight="1" x14ac:dyDescent="0.3">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26.25" customHeight="1" x14ac:dyDescent="0.3">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26.25" customHeight="1" x14ac:dyDescent="0.3">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26.25" customHeight="1" x14ac:dyDescent="0.3">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26.25" customHeight="1" x14ac:dyDescent="0.3">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26.25" customHeight="1" x14ac:dyDescent="0.3">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26.25" customHeight="1" x14ac:dyDescent="0.3">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26.25" customHeight="1" x14ac:dyDescent="0.3">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26.25" customHeight="1" x14ac:dyDescent="0.3">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26.25" customHeight="1" x14ac:dyDescent="0.3">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26.25" customHeight="1" x14ac:dyDescent="0.3">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26.25" customHeight="1" x14ac:dyDescent="0.3">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26.25" customHeight="1" x14ac:dyDescent="0.3">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26.25" customHeight="1" x14ac:dyDescent="0.3">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26.25" customHeight="1" x14ac:dyDescent="0.3">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26.25" customHeight="1" x14ac:dyDescent="0.3">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26.25" customHeight="1" x14ac:dyDescent="0.3">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26.25" customHeight="1" x14ac:dyDescent="0.3">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26.25" customHeight="1" x14ac:dyDescent="0.3">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26.25" customHeight="1" x14ac:dyDescent="0.3">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26.25" customHeight="1" x14ac:dyDescent="0.3">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26.25" customHeight="1" x14ac:dyDescent="0.3">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26.25" customHeight="1" x14ac:dyDescent="0.3">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26.25" customHeight="1" x14ac:dyDescent="0.3">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26.25" customHeight="1" x14ac:dyDescent="0.3">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26.25" customHeight="1" x14ac:dyDescent="0.3">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26.25" customHeight="1" x14ac:dyDescent="0.3">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26.25" customHeight="1" x14ac:dyDescent="0.3">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26.25" customHeight="1" x14ac:dyDescent="0.3">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26.25" customHeight="1" x14ac:dyDescent="0.3">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26.25" customHeight="1" x14ac:dyDescent="0.3">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26.25" customHeight="1" x14ac:dyDescent="0.3">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26.25" customHeight="1" x14ac:dyDescent="0.3">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26.25" customHeight="1" x14ac:dyDescent="0.3">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26.25" customHeight="1" x14ac:dyDescent="0.3">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26.25" customHeight="1" x14ac:dyDescent="0.3">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26.25" customHeight="1" x14ac:dyDescent="0.3">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26.25" customHeight="1" x14ac:dyDescent="0.3">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26.25" customHeight="1" x14ac:dyDescent="0.3">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26.25" customHeight="1" x14ac:dyDescent="0.3">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26.25" customHeight="1" x14ac:dyDescent="0.3">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26.25" customHeight="1" x14ac:dyDescent="0.3">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26.25" customHeight="1" x14ac:dyDescent="0.3">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26.25" customHeight="1" x14ac:dyDescent="0.3">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26.25" customHeight="1" x14ac:dyDescent="0.3">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26.25" customHeight="1" x14ac:dyDescent="0.3">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26.25" customHeight="1" x14ac:dyDescent="0.3">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26.25" customHeight="1" x14ac:dyDescent="0.3">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26.25" customHeight="1" x14ac:dyDescent="0.3">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26.25" customHeight="1" x14ac:dyDescent="0.3">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26.25" customHeight="1" x14ac:dyDescent="0.3">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26.25" customHeight="1" x14ac:dyDescent="0.3">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26.25" customHeight="1" x14ac:dyDescent="0.3">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26.25" customHeight="1" x14ac:dyDescent="0.3">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26.25" customHeight="1" x14ac:dyDescent="0.3">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26.25" customHeight="1" x14ac:dyDescent="0.3">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26.25" customHeight="1" x14ac:dyDescent="0.3">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26.25" customHeight="1" x14ac:dyDescent="0.3">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26.25" customHeight="1" x14ac:dyDescent="0.3">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26.25" customHeight="1" x14ac:dyDescent="0.3">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26.25" customHeight="1" x14ac:dyDescent="0.3">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26.25" customHeight="1" x14ac:dyDescent="0.3">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26.25" customHeight="1" x14ac:dyDescent="0.3">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26.25" customHeight="1" x14ac:dyDescent="0.3">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26.25" customHeight="1" x14ac:dyDescent="0.3">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26.25" customHeight="1" x14ac:dyDescent="0.3">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26.25" customHeight="1" x14ac:dyDescent="0.3">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26.25" customHeight="1" x14ac:dyDescent="0.3">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26.25" customHeight="1" x14ac:dyDescent="0.3">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26.25" customHeight="1" x14ac:dyDescent="0.3">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26.25" customHeight="1" x14ac:dyDescent="0.3">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26.25" customHeight="1" x14ac:dyDescent="0.3">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26.25" customHeight="1" x14ac:dyDescent="0.3">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26.25" customHeight="1" x14ac:dyDescent="0.3">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26.25" customHeight="1" x14ac:dyDescent="0.3">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26.25" customHeight="1" x14ac:dyDescent="0.3">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26.25" customHeight="1" x14ac:dyDescent="0.3">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26.25" customHeight="1" x14ac:dyDescent="0.3">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26.25" customHeight="1" x14ac:dyDescent="0.3">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26.25" customHeight="1" x14ac:dyDescent="0.3">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26.25" customHeight="1" x14ac:dyDescent="0.3">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26.25" customHeight="1" x14ac:dyDescent="0.3">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26.25" customHeight="1" x14ac:dyDescent="0.3">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26.25" customHeight="1" x14ac:dyDescent="0.3">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26.25" customHeight="1" x14ac:dyDescent="0.3">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26.25" customHeight="1" x14ac:dyDescent="0.3">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26.25" customHeight="1" x14ac:dyDescent="0.3">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26.25" customHeight="1" x14ac:dyDescent="0.3">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26.25" customHeight="1" x14ac:dyDescent="0.3">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26.25" customHeight="1" x14ac:dyDescent="0.3">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26.25" customHeight="1" x14ac:dyDescent="0.3">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26.25" customHeight="1" x14ac:dyDescent="0.3">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26.25" customHeight="1" x14ac:dyDescent="0.3">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26.25" customHeight="1" x14ac:dyDescent="0.3">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26.25" customHeight="1" x14ac:dyDescent="0.3">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26.25" customHeight="1" x14ac:dyDescent="0.3">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26.25" customHeight="1" x14ac:dyDescent="0.3">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26.25" customHeight="1" x14ac:dyDescent="0.3">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26.25" customHeight="1" x14ac:dyDescent="0.3">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26.25" customHeight="1" x14ac:dyDescent="0.3">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26.25" customHeight="1" x14ac:dyDescent="0.3">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26.25" customHeight="1" x14ac:dyDescent="0.3">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26.25" customHeight="1" x14ac:dyDescent="0.3">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26.25" customHeight="1" x14ac:dyDescent="0.3">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26.25" customHeight="1" x14ac:dyDescent="0.3">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26.25" customHeight="1" x14ac:dyDescent="0.3">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26.25" customHeight="1" x14ac:dyDescent="0.3">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26.25" customHeight="1" x14ac:dyDescent="0.3">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26.25" customHeight="1" x14ac:dyDescent="0.3">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26.25" customHeight="1" x14ac:dyDescent="0.3">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26.25" customHeight="1" x14ac:dyDescent="0.3">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26.25" customHeight="1" x14ac:dyDescent="0.3">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26.25" customHeight="1" x14ac:dyDescent="0.3">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26.25" customHeight="1" x14ac:dyDescent="0.3">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26.25" customHeight="1" x14ac:dyDescent="0.3">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26.25" customHeight="1" x14ac:dyDescent="0.3">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26.25" customHeight="1" x14ac:dyDescent="0.3">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26.25" customHeight="1" x14ac:dyDescent="0.3">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26.25" customHeight="1" x14ac:dyDescent="0.3">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26.25" customHeight="1" x14ac:dyDescent="0.3">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26.25" customHeight="1" x14ac:dyDescent="0.3">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26.25" customHeight="1" x14ac:dyDescent="0.3">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26.25" customHeight="1" x14ac:dyDescent="0.3">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26.25" customHeight="1" x14ac:dyDescent="0.3">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26.25" customHeight="1" x14ac:dyDescent="0.3">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26.25" customHeight="1" x14ac:dyDescent="0.3">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26.25" customHeight="1" x14ac:dyDescent="0.3">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26.25" customHeight="1" x14ac:dyDescent="0.3">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26.25" customHeight="1" x14ac:dyDescent="0.3">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26.25" customHeight="1" x14ac:dyDescent="0.3">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26.25" customHeight="1" x14ac:dyDescent="0.3">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26.25" customHeight="1" x14ac:dyDescent="0.3">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26.25" customHeight="1" x14ac:dyDescent="0.3">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26.25" customHeight="1" x14ac:dyDescent="0.3">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26.25" customHeight="1" x14ac:dyDescent="0.3">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26.25" customHeight="1" x14ac:dyDescent="0.3">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26.25" customHeight="1" x14ac:dyDescent="0.3">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26.25" customHeight="1" x14ac:dyDescent="0.3">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26.25" customHeight="1" x14ac:dyDescent="0.3">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26.25" customHeight="1" x14ac:dyDescent="0.3">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26.25" customHeight="1" x14ac:dyDescent="0.3">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26.25" customHeight="1" x14ac:dyDescent="0.3">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26.25" customHeight="1" x14ac:dyDescent="0.3">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26.25" customHeight="1" x14ac:dyDescent="0.3">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26.25" customHeight="1" x14ac:dyDescent="0.3">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26.25" customHeight="1" x14ac:dyDescent="0.3">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26.25" customHeight="1" x14ac:dyDescent="0.3">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26.25" customHeight="1" x14ac:dyDescent="0.3">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26.25" customHeight="1" x14ac:dyDescent="0.3">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26.25" customHeight="1" x14ac:dyDescent="0.3">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26.25" customHeight="1" x14ac:dyDescent="0.3">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26.25" customHeight="1" x14ac:dyDescent="0.3">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26.25" customHeight="1" x14ac:dyDescent="0.3">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26.25" customHeight="1" x14ac:dyDescent="0.3">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26.25" customHeight="1" x14ac:dyDescent="0.3">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26.25" customHeight="1" x14ac:dyDescent="0.3">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26.25" customHeight="1" x14ac:dyDescent="0.3">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26.25" customHeight="1" x14ac:dyDescent="0.3">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26.25" customHeight="1" x14ac:dyDescent="0.3">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26.25" customHeight="1" x14ac:dyDescent="0.3">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26.25" customHeight="1" x14ac:dyDescent="0.3">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26.25" customHeight="1" x14ac:dyDescent="0.3">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26.25" customHeight="1" x14ac:dyDescent="0.3">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26.25" customHeight="1" x14ac:dyDescent="0.3">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26.25" customHeight="1" x14ac:dyDescent="0.3">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26.25" customHeight="1" x14ac:dyDescent="0.3">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26.25" customHeight="1" x14ac:dyDescent="0.3">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26.25" customHeight="1" x14ac:dyDescent="0.3">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26.25" customHeight="1" x14ac:dyDescent="0.3">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26.25" customHeight="1" x14ac:dyDescent="0.3">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26.25" customHeight="1" x14ac:dyDescent="0.3">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26.25" customHeight="1" x14ac:dyDescent="0.3">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26.25" customHeight="1" x14ac:dyDescent="0.3">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26.25" customHeight="1" x14ac:dyDescent="0.3">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26.25" customHeight="1" x14ac:dyDescent="0.3">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26.25" customHeight="1" x14ac:dyDescent="0.3">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26.25" customHeight="1" x14ac:dyDescent="0.3">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26.25" customHeight="1" x14ac:dyDescent="0.3">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26.25" customHeight="1" x14ac:dyDescent="0.3">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26.25" customHeight="1" x14ac:dyDescent="0.3">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26.25" customHeight="1" x14ac:dyDescent="0.3">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26.25" customHeight="1" x14ac:dyDescent="0.3">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26.25" customHeight="1" x14ac:dyDescent="0.3">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26.25" customHeight="1" x14ac:dyDescent="0.3">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26.25" customHeight="1" x14ac:dyDescent="0.3">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26.25" customHeight="1" x14ac:dyDescent="0.3">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26.25" customHeight="1" x14ac:dyDescent="0.3">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26.25" customHeight="1" x14ac:dyDescent="0.3">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26.25" customHeight="1" x14ac:dyDescent="0.3">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26.25" customHeight="1" x14ac:dyDescent="0.3">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26.25" customHeight="1" x14ac:dyDescent="0.3">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26.25" customHeight="1" x14ac:dyDescent="0.3">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26.25" customHeight="1" x14ac:dyDescent="0.3">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26.25" customHeight="1" x14ac:dyDescent="0.3">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26.25" customHeight="1" x14ac:dyDescent="0.3">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26.25" customHeight="1" x14ac:dyDescent="0.3">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26.25" customHeight="1" x14ac:dyDescent="0.3">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26.25" customHeight="1" x14ac:dyDescent="0.3">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26.25" customHeight="1" x14ac:dyDescent="0.3">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26.25" customHeight="1" x14ac:dyDescent="0.3">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26.25" customHeight="1" x14ac:dyDescent="0.3">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26.25" customHeight="1" x14ac:dyDescent="0.3">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26.25" customHeight="1" x14ac:dyDescent="0.3">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26.25" customHeight="1" x14ac:dyDescent="0.3">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26.25" customHeight="1" x14ac:dyDescent="0.3">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26.25" customHeight="1" x14ac:dyDescent="0.3">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26.25" customHeight="1" x14ac:dyDescent="0.3">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26.25" customHeight="1" x14ac:dyDescent="0.3">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26.25" customHeight="1" x14ac:dyDescent="0.3">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26.25" customHeight="1" x14ac:dyDescent="0.3">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26.25" customHeight="1" x14ac:dyDescent="0.3">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26.25" customHeight="1" x14ac:dyDescent="0.3">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26.25" customHeight="1" x14ac:dyDescent="0.3">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26.25" customHeight="1" x14ac:dyDescent="0.3">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26.25" customHeight="1" x14ac:dyDescent="0.3">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26.25" customHeight="1" x14ac:dyDescent="0.3">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26.25" customHeight="1" x14ac:dyDescent="0.3">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26.25" customHeight="1" x14ac:dyDescent="0.3">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26.25" customHeight="1" x14ac:dyDescent="0.3">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26.25" customHeight="1" x14ac:dyDescent="0.3">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26.25" customHeight="1" x14ac:dyDescent="0.3">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26.25" customHeight="1" x14ac:dyDescent="0.3">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26.25" customHeight="1" x14ac:dyDescent="0.3">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26.25" customHeight="1" x14ac:dyDescent="0.3">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26.25" customHeight="1" x14ac:dyDescent="0.3">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26.25" customHeight="1" x14ac:dyDescent="0.3">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26.25" customHeight="1" x14ac:dyDescent="0.3">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26.25" customHeight="1" x14ac:dyDescent="0.3">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26.25" customHeight="1" x14ac:dyDescent="0.3">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26.25" customHeight="1" x14ac:dyDescent="0.3">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26.25" customHeight="1" x14ac:dyDescent="0.3">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26.25" customHeight="1" x14ac:dyDescent="0.3">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26.25" customHeight="1" x14ac:dyDescent="0.3">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26.25" customHeight="1" x14ac:dyDescent="0.3">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26.25" customHeight="1" x14ac:dyDescent="0.3">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26.25" customHeight="1" x14ac:dyDescent="0.3">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26.25" customHeight="1" x14ac:dyDescent="0.3">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26.25" customHeight="1" x14ac:dyDescent="0.3">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26.25" customHeight="1" x14ac:dyDescent="0.3">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26.25" customHeight="1" x14ac:dyDescent="0.3">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26.25" customHeight="1" x14ac:dyDescent="0.3">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26.25" customHeight="1" x14ac:dyDescent="0.3">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26.25" customHeight="1" x14ac:dyDescent="0.3">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26.25" customHeight="1" x14ac:dyDescent="0.3">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26.25" customHeight="1" x14ac:dyDescent="0.3">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26.25" customHeight="1" x14ac:dyDescent="0.3">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26.25" customHeight="1" x14ac:dyDescent="0.3">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26.25" customHeight="1" x14ac:dyDescent="0.3">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26.25" customHeight="1" x14ac:dyDescent="0.3">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26.25" customHeight="1" x14ac:dyDescent="0.3">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26.25" customHeight="1" x14ac:dyDescent="0.3">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26.25" customHeight="1" x14ac:dyDescent="0.3">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26.25" customHeight="1" x14ac:dyDescent="0.3">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26.25" customHeight="1" x14ac:dyDescent="0.3">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26.25" customHeight="1" x14ac:dyDescent="0.3">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26.25" customHeight="1" x14ac:dyDescent="0.3">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26.25" customHeight="1" x14ac:dyDescent="0.3">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26.25" customHeight="1" x14ac:dyDescent="0.3">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26.25" customHeight="1" x14ac:dyDescent="0.3">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26.25" customHeight="1" x14ac:dyDescent="0.3">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26.25" customHeight="1" x14ac:dyDescent="0.3">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26.25" customHeight="1" x14ac:dyDescent="0.3">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26.25" customHeight="1" x14ac:dyDescent="0.3">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26.25" customHeight="1" x14ac:dyDescent="0.3">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26.25" customHeight="1" x14ac:dyDescent="0.3">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26.25" customHeight="1" x14ac:dyDescent="0.3">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26.25" customHeight="1" x14ac:dyDescent="0.3">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26.25" customHeight="1" x14ac:dyDescent="0.3">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26.25" customHeight="1" x14ac:dyDescent="0.3">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26.25" customHeight="1" x14ac:dyDescent="0.3">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26.25" customHeight="1" x14ac:dyDescent="0.3">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26.25" customHeight="1" x14ac:dyDescent="0.3">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26.25" customHeight="1" x14ac:dyDescent="0.3">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26.25" customHeight="1" x14ac:dyDescent="0.3">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26.25" customHeight="1" x14ac:dyDescent="0.3">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26.25" customHeight="1" x14ac:dyDescent="0.3">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26.25" customHeight="1" x14ac:dyDescent="0.3">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26.25" customHeight="1" x14ac:dyDescent="0.3">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26.25" customHeight="1" x14ac:dyDescent="0.3">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26.25" customHeight="1" x14ac:dyDescent="0.3">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26.25" customHeight="1" x14ac:dyDescent="0.3">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26.25" customHeight="1" x14ac:dyDescent="0.3">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26.25" customHeight="1" x14ac:dyDescent="0.3">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26.25" customHeight="1" x14ac:dyDescent="0.3">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26.25" customHeight="1" x14ac:dyDescent="0.3">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26.25" customHeight="1" x14ac:dyDescent="0.3">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26.25" customHeight="1" x14ac:dyDescent="0.3">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26.25" customHeight="1" x14ac:dyDescent="0.3">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26.25" customHeight="1" x14ac:dyDescent="0.3">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26.25" customHeight="1" x14ac:dyDescent="0.3">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26.25" customHeight="1" x14ac:dyDescent="0.3">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26.25" customHeight="1" x14ac:dyDescent="0.3">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26.25" customHeight="1" x14ac:dyDescent="0.3">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26.25" customHeight="1" x14ac:dyDescent="0.3">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26.25" customHeight="1" x14ac:dyDescent="0.3">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26.25" customHeight="1" x14ac:dyDescent="0.3">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26.25" customHeight="1" x14ac:dyDescent="0.3">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26.25" customHeight="1" x14ac:dyDescent="0.3">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26.25" customHeight="1" x14ac:dyDescent="0.3">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26.25" customHeight="1" x14ac:dyDescent="0.3">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26.25" customHeight="1" x14ac:dyDescent="0.3">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26.25" customHeight="1" x14ac:dyDescent="0.3">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26.25" customHeight="1" x14ac:dyDescent="0.3">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26.25" customHeight="1" x14ac:dyDescent="0.3">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26.25" customHeight="1" x14ac:dyDescent="0.3">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26.25" customHeight="1" x14ac:dyDescent="0.3">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26.25" customHeight="1" x14ac:dyDescent="0.3">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26.25" customHeight="1" x14ac:dyDescent="0.3">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26.25" customHeight="1" x14ac:dyDescent="0.3">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26.25" customHeight="1" x14ac:dyDescent="0.3">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26.25" customHeight="1" x14ac:dyDescent="0.3">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26.25" customHeight="1" x14ac:dyDescent="0.3">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26.25" customHeight="1" x14ac:dyDescent="0.3">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26.25" customHeight="1" x14ac:dyDescent="0.3">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26.25" customHeight="1" x14ac:dyDescent="0.3">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26.25" customHeight="1" x14ac:dyDescent="0.3">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26.25" customHeight="1" x14ac:dyDescent="0.3">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26.25" customHeight="1" x14ac:dyDescent="0.3">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26.25" customHeight="1" x14ac:dyDescent="0.3">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26.25" customHeight="1" x14ac:dyDescent="0.3">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26.25" customHeight="1" x14ac:dyDescent="0.3">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26.25" customHeight="1" x14ac:dyDescent="0.3">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26.25" customHeight="1" x14ac:dyDescent="0.3">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26.25" customHeight="1" x14ac:dyDescent="0.3">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26.25" customHeight="1" x14ac:dyDescent="0.3">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26.25" customHeight="1" x14ac:dyDescent="0.3">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26.25" customHeight="1" x14ac:dyDescent="0.3">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26.25" customHeight="1" x14ac:dyDescent="0.3">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26.25" customHeight="1" x14ac:dyDescent="0.3">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26.25" customHeight="1" x14ac:dyDescent="0.3">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26.25" customHeight="1" x14ac:dyDescent="0.3">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26.25" customHeight="1" x14ac:dyDescent="0.3">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26.25" customHeight="1" x14ac:dyDescent="0.3">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26.25" customHeight="1" x14ac:dyDescent="0.3">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26.25" customHeight="1" x14ac:dyDescent="0.3">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26.25" customHeight="1" x14ac:dyDescent="0.3">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26.25" customHeight="1" x14ac:dyDescent="0.3">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26.25" customHeight="1" x14ac:dyDescent="0.3">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26.25" customHeight="1" x14ac:dyDescent="0.3">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26.25" customHeight="1" x14ac:dyDescent="0.3">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26.25" customHeight="1" x14ac:dyDescent="0.3">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26.25" customHeight="1" x14ac:dyDescent="0.3">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26.25" customHeight="1" x14ac:dyDescent="0.3">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26.25" customHeight="1" x14ac:dyDescent="0.3">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26.25" customHeight="1" x14ac:dyDescent="0.3">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26.25" customHeight="1" x14ac:dyDescent="0.3">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26.25" customHeight="1" x14ac:dyDescent="0.3">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26.25" customHeight="1" x14ac:dyDescent="0.3">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26.25" customHeight="1" x14ac:dyDescent="0.3">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26.25" customHeight="1" x14ac:dyDescent="0.3">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26.25" customHeight="1" x14ac:dyDescent="0.3">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26.25" customHeight="1" x14ac:dyDescent="0.3">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26.25" customHeight="1" x14ac:dyDescent="0.3">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26.25" customHeight="1" x14ac:dyDescent="0.3">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26.25" customHeight="1" x14ac:dyDescent="0.3">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26.25" customHeight="1" x14ac:dyDescent="0.3">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26.25" customHeight="1" x14ac:dyDescent="0.3">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26.25" customHeight="1" x14ac:dyDescent="0.3">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26.25" customHeight="1" x14ac:dyDescent="0.3">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26.25" customHeight="1" x14ac:dyDescent="0.3">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26.25" customHeight="1" x14ac:dyDescent="0.3">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26.25" customHeight="1" x14ac:dyDescent="0.3">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26.25" customHeight="1" x14ac:dyDescent="0.3">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26.25" customHeight="1" x14ac:dyDescent="0.3">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26.25" customHeight="1" x14ac:dyDescent="0.3">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26.25" customHeight="1" x14ac:dyDescent="0.3">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26.25" customHeight="1" x14ac:dyDescent="0.3">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26.25" customHeight="1" x14ac:dyDescent="0.3">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26.25" customHeight="1" x14ac:dyDescent="0.3">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26.25" customHeight="1" x14ac:dyDescent="0.3">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26.25" customHeight="1" x14ac:dyDescent="0.3">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26.25" customHeight="1" x14ac:dyDescent="0.3">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26.25" customHeight="1" x14ac:dyDescent="0.3">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26.25" customHeight="1" x14ac:dyDescent="0.3">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26.25" customHeight="1" x14ac:dyDescent="0.3">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26.25" customHeight="1" x14ac:dyDescent="0.3">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26.25" customHeight="1" x14ac:dyDescent="0.3">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26.25" customHeight="1" x14ac:dyDescent="0.3">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26.25" customHeight="1" x14ac:dyDescent="0.3">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26.25" customHeight="1" x14ac:dyDescent="0.3">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26.25" customHeight="1" x14ac:dyDescent="0.3">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26.25" customHeight="1" x14ac:dyDescent="0.3">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26.25" customHeight="1" x14ac:dyDescent="0.3">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26.25" customHeight="1" x14ac:dyDescent="0.3">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26.25" customHeight="1" x14ac:dyDescent="0.3">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26.25" customHeight="1" x14ac:dyDescent="0.3">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26.25" customHeight="1" x14ac:dyDescent="0.3">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26.25" customHeight="1" x14ac:dyDescent="0.3">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26.25" customHeight="1" x14ac:dyDescent="0.3">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26.25" customHeight="1" x14ac:dyDescent="0.3">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26.25" customHeight="1" x14ac:dyDescent="0.3">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26.25" customHeight="1" x14ac:dyDescent="0.3">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26.25" customHeight="1" x14ac:dyDescent="0.3">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26.25" customHeight="1" x14ac:dyDescent="0.3">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26.25" customHeight="1" x14ac:dyDescent="0.3">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26.25" customHeight="1" x14ac:dyDescent="0.3">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26.25" customHeight="1" x14ac:dyDescent="0.3">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26.25" customHeight="1" x14ac:dyDescent="0.3">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26.25" customHeight="1" x14ac:dyDescent="0.3">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26.25" customHeight="1" x14ac:dyDescent="0.3">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26.25" customHeight="1" x14ac:dyDescent="0.3">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26.25" customHeight="1" x14ac:dyDescent="0.3">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26.25" customHeight="1" x14ac:dyDescent="0.3">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26.25" customHeight="1" x14ac:dyDescent="0.3">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26.25" customHeight="1" x14ac:dyDescent="0.3">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26.25" customHeight="1" x14ac:dyDescent="0.3">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26.25" customHeight="1" x14ac:dyDescent="0.3">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26.25" customHeight="1" x14ac:dyDescent="0.3">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26.25" customHeight="1" x14ac:dyDescent="0.3">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26.25" customHeight="1" x14ac:dyDescent="0.3">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26.25" customHeight="1" x14ac:dyDescent="0.3">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26.25" customHeight="1" x14ac:dyDescent="0.3">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26.25" customHeight="1" x14ac:dyDescent="0.3">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26.25" customHeight="1" x14ac:dyDescent="0.3">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26.25" customHeight="1" x14ac:dyDescent="0.3">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26.25" customHeight="1" x14ac:dyDescent="0.3">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26.25" customHeight="1" x14ac:dyDescent="0.3">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26.25" customHeight="1" x14ac:dyDescent="0.3">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26.25" customHeight="1" x14ac:dyDescent="0.3">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26.25" customHeight="1" x14ac:dyDescent="0.3">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26.25" customHeight="1" x14ac:dyDescent="0.3">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26.25" customHeight="1" x14ac:dyDescent="0.3">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26.25" customHeight="1" x14ac:dyDescent="0.3">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26.25" customHeight="1" x14ac:dyDescent="0.3">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26.25" customHeight="1" x14ac:dyDescent="0.3">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26.25" customHeight="1" x14ac:dyDescent="0.3">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26.25" customHeight="1" x14ac:dyDescent="0.3">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26.25" customHeight="1" x14ac:dyDescent="0.3">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26.25" customHeight="1" x14ac:dyDescent="0.3">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26.25" customHeight="1" x14ac:dyDescent="0.3">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26.25" customHeight="1" x14ac:dyDescent="0.3">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26.25" customHeight="1" x14ac:dyDescent="0.3">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26.25" customHeight="1" x14ac:dyDescent="0.3">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26.25" customHeight="1" x14ac:dyDescent="0.3">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26.25" customHeight="1" x14ac:dyDescent="0.3">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26.25" customHeight="1" x14ac:dyDescent="0.3">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26.25" customHeight="1" x14ac:dyDescent="0.3">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26.25" customHeight="1" x14ac:dyDescent="0.3">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26.25" customHeight="1" x14ac:dyDescent="0.3">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26.25" customHeight="1" x14ac:dyDescent="0.3">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26.25" customHeight="1" x14ac:dyDescent="0.3">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26.25" customHeight="1" x14ac:dyDescent="0.3">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26.25" customHeight="1" x14ac:dyDescent="0.3">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26.25" customHeight="1" x14ac:dyDescent="0.3">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26.25" customHeight="1" x14ac:dyDescent="0.3">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26.25" customHeight="1" x14ac:dyDescent="0.3">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26.25" customHeight="1" x14ac:dyDescent="0.3">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26.25" customHeight="1" x14ac:dyDescent="0.3">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26.25" customHeight="1" x14ac:dyDescent="0.3">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26.25" customHeight="1" x14ac:dyDescent="0.3">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26.25" customHeight="1" x14ac:dyDescent="0.3">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26.25" customHeight="1" x14ac:dyDescent="0.3">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26.25" customHeight="1" x14ac:dyDescent="0.3">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26.25" customHeight="1" x14ac:dyDescent="0.3">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26.25" customHeight="1" x14ac:dyDescent="0.3">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26.25" customHeight="1" x14ac:dyDescent="0.3">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26.25" customHeight="1" x14ac:dyDescent="0.3">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26.25" customHeight="1" x14ac:dyDescent="0.3">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26.25" customHeight="1" x14ac:dyDescent="0.3">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26.25" customHeight="1" x14ac:dyDescent="0.3">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26.25" customHeight="1" x14ac:dyDescent="0.3">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26.25" customHeight="1" x14ac:dyDescent="0.3">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26.25" customHeight="1" x14ac:dyDescent="0.3">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26.25" customHeight="1" x14ac:dyDescent="0.3">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26.25" customHeight="1" x14ac:dyDescent="0.3">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26.25" customHeight="1" x14ac:dyDescent="0.3">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26.25" customHeight="1" x14ac:dyDescent="0.3">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26.25" customHeight="1" x14ac:dyDescent="0.3">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26.25" customHeight="1" x14ac:dyDescent="0.3">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26.25" customHeight="1" x14ac:dyDescent="0.3">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26.25" customHeight="1" x14ac:dyDescent="0.3">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26.25" customHeight="1" x14ac:dyDescent="0.3">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26.25" customHeight="1" x14ac:dyDescent="0.3">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26.25" customHeight="1" x14ac:dyDescent="0.3">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26.25" customHeight="1" x14ac:dyDescent="0.3">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26.25" customHeight="1" x14ac:dyDescent="0.3">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26.25" customHeight="1" x14ac:dyDescent="0.3">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26.25" customHeight="1" x14ac:dyDescent="0.3">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26.25" customHeight="1" x14ac:dyDescent="0.3">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26.25" customHeight="1" x14ac:dyDescent="0.3">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26.25" customHeight="1" x14ac:dyDescent="0.3">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26.25" customHeight="1" x14ac:dyDescent="0.3">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26.25" customHeight="1" x14ac:dyDescent="0.3">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26.25" customHeight="1" x14ac:dyDescent="0.3">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26.25" customHeight="1" x14ac:dyDescent="0.3">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26.25" customHeight="1" x14ac:dyDescent="0.3">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26.25" customHeight="1" x14ac:dyDescent="0.3">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26.25" customHeight="1" x14ac:dyDescent="0.3">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26.25" customHeight="1" x14ac:dyDescent="0.3">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26.25" customHeight="1" x14ac:dyDescent="0.3">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26.25" customHeight="1" x14ac:dyDescent="0.3">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26.25" customHeight="1" x14ac:dyDescent="0.3">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26.25" customHeight="1" x14ac:dyDescent="0.3">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26.25" customHeight="1" x14ac:dyDescent="0.3">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26.25" customHeight="1" x14ac:dyDescent="0.3">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26.25" customHeight="1" x14ac:dyDescent="0.3">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26.25" customHeight="1" x14ac:dyDescent="0.3">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26.25" customHeight="1" x14ac:dyDescent="0.3">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26.25" customHeight="1" x14ac:dyDescent="0.3">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26.25" customHeight="1" x14ac:dyDescent="0.3">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26.25" customHeight="1" x14ac:dyDescent="0.3">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26.25" customHeight="1" x14ac:dyDescent="0.3">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26.25" customHeight="1" x14ac:dyDescent="0.3">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26.25" customHeight="1" x14ac:dyDescent="0.3">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26.25" customHeight="1" x14ac:dyDescent="0.3">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26.25" customHeight="1" x14ac:dyDescent="0.3">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26.25" customHeight="1" x14ac:dyDescent="0.3">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26.25" customHeight="1" x14ac:dyDescent="0.3">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26.25" customHeight="1" x14ac:dyDescent="0.3">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26.25" customHeight="1" x14ac:dyDescent="0.3">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26.25" customHeight="1" x14ac:dyDescent="0.3">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26.25" customHeight="1" x14ac:dyDescent="0.3">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26.25" customHeight="1" x14ac:dyDescent="0.3">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26.25" customHeight="1" x14ac:dyDescent="0.3">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26.25" customHeight="1" x14ac:dyDescent="0.3">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26.25" customHeight="1" x14ac:dyDescent="0.3">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26.25" customHeight="1" x14ac:dyDescent="0.3">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26.25" customHeight="1" x14ac:dyDescent="0.3">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26.25" customHeight="1" x14ac:dyDescent="0.3">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26.25" customHeight="1" x14ac:dyDescent="0.3">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26.25" customHeight="1" x14ac:dyDescent="0.3">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26.25" customHeight="1" x14ac:dyDescent="0.3">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26.25" customHeight="1" x14ac:dyDescent="0.3">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26.25" customHeight="1" x14ac:dyDescent="0.3">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26.25" customHeight="1" x14ac:dyDescent="0.3">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26.25" customHeight="1" x14ac:dyDescent="0.3">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26.25" customHeight="1" x14ac:dyDescent="0.3">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26.25" customHeight="1" x14ac:dyDescent="0.3">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26.25" customHeight="1" x14ac:dyDescent="0.3">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26.25" customHeight="1" x14ac:dyDescent="0.3">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26.25" customHeight="1" x14ac:dyDescent="0.3">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26.25" customHeight="1" x14ac:dyDescent="0.3">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26.25" customHeight="1" x14ac:dyDescent="0.3">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26.25" customHeight="1" x14ac:dyDescent="0.3">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26.25" customHeight="1" x14ac:dyDescent="0.3">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26.25" customHeight="1" x14ac:dyDescent="0.3">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26.25" customHeight="1" x14ac:dyDescent="0.3">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26.25" customHeight="1" x14ac:dyDescent="0.3">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26.25" customHeight="1" x14ac:dyDescent="0.3">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26.25" customHeight="1" x14ac:dyDescent="0.3">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26.25" customHeight="1" x14ac:dyDescent="0.3">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26.25" customHeight="1" x14ac:dyDescent="0.3">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26.25" customHeight="1" x14ac:dyDescent="0.3">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26.25" customHeight="1" x14ac:dyDescent="0.3">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26.25" customHeight="1" x14ac:dyDescent="0.3">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26.25" customHeight="1" x14ac:dyDescent="0.3">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26.25" customHeight="1" x14ac:dyDescent="0.3">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26.25" customHeight="1" x14ac:dyDescent="0.3">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26.25" customHeight="1" x14ac:dyDescent="0.3">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26.25" customHeight="1" x14ac:dyDescent="0.3">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26.25" customHeight="1" x14ac:dyDescent="0.3">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26.25" customHeight="1" x14ac:dyDescent="0.3">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26.25" customHeight="1" x14ac:dyDescent="0.3">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26.25" customHeight="1" x14ac:dyDescent="0.3">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26.25" customHeight="1" x14ac:dyDescent="0.3">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26.25" customHeight="1" x14ac:dyDescent="0.3">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26.25" customHeight="1" x14ac:dyDescent="0.3">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26.25" customHeight="1" x14ac:dyDescent="0.3">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26.25" customHeight="1" x14ac:dyDescent="0.3">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26.25" customHeight="1" x14ac:dyDescent="0.3">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26.25" customHeight="1" x14ac:dyDescent="0.3">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26.25" customHeight="1" x14ac:dyDescent="0.3">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26.25" customHeight="1" x14ac:dyDescent="0.3">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26.25" customHeight="1" x14ac:dyDescent="0.3">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26.25" customHeight="1" x14ac:dyDescent="0.3">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26.25" customHeight="1" x14ac:dyDescent="0.3">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26.25" customHeight="1" x14ac:dyDescent="0.3">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26.25" customHeight="1" x14ac:dyDescent="0.3">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26.25" customHeight="1" x14ac:dyDescent="0.3">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26.25" customHeight="1" x14ac:dyDescent="0.3">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26.25" customHeight="1" x14ac:dyDescent="0.3">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26.25" customHeight="1" x14ac:dyDescent="0.3">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26.25" customHeight="1" x14ac:dyDescent="0.3">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26.25" customHeight="1" x14ac:dyDescent="0.3">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26.25" customHeight="1" x14ac:dyDescent="0.3">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26.25" customHeight="1" x14ac:dyDescent="0.3">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26.25" customHeight="1" x14ac:dyDescent="0.3">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26.25" customHeight="1" x14ac:dyDescent="0.3">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26.25" customHeight="1" x14ac:dyDescent="0.3">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26.25" customHeight="1" x14ac:dyDescent="0.3">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26.25" customHeight="1" x14ac:dyDescent="0.3">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26.25" customHeight="1" x14ac:dyDescent="0.3">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26.25" customHeight="1" x14ac:dyDescent="0.3">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26.25" customHeight="1" x14ac:dyDescent="0.3">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26.25" customHeight="1" x14ac:dyDescent="0.3">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26.25" customHeight="1" x14ac:dyDescent="0.3">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26.25" customHeight="1" x14ac:dyDescent="0.3">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26.25" customHeight="1" x14ac:dyDescent="0.3">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26.25" customHeight="1" x14ac:dyDescent="0.3">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26.25" customHeight="1" x14ac:dyDescent="0.3">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26.25" customHeight="1" x14ac:dyDescent="0.3">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26.25" customHeight="1" x14ac:dyDescent="0.3">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26.25" customHeight="1" x14ac:dyDescent="0.3">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26.25" customHeight="1" x14ac:dyDescent="0.3">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26.25" customHeight="1" x14ac:dyDescent="0.3">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26.25" customHeight="1" x14ac:dyDescent="0.3">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26.25" customHeight="1" x14ac:dyDescent="0.3">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26.25" customHeight="1" x14ac:dyDescent="0.3">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26.25" customHeight="1" x14ac:dyDescent="0.3">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26.25" customHeight="1" x14ac:dyDescent="0.3">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26.25" customHeight="1" x14ac:dyDescent="0.3">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26.25" customHeight="1" x14ac:dyDescent="0.3">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26.25" customHeight="1" x14ac:dyDescent="0.3">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26.25" customHeight="1" x14ac:dyDescent="0.3">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26.25" customHeight="1" x14ac:dyDescent="0.3">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26.25" customHeight="1" x14ac:dyDescent="0.3">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26.25" customHeight="1" x14ac:dyDescent="0.3">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26.25" customHeight="1" x14ac:dyDescent="0.3">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26.25" customHeight="1" x14ac:dyDescent="0.3">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26.25" customHeight="1" x14ac:dyDescent="0.3">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26.25" customHeight="1" x14ac:dyDescent="0.3">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26.25" customHeight="1" x14ac:dyDescent="0.3">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26.25" customHeight="1" x14ac:dyDescent="0.3">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26.25" customHeight="1" x14ac:dyDescent="0.3">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3">
    <mergeCell ref="A42:A44"/>
    <mergeCell ref="A1:A2"/>
    <mergeCell ref="B1:B2"/>
    <mergeCell ref="C1:H1"/>
    <mergeCell ref="I1:M1"/>
    <mergeCell ref="A3:A7"/>
    <mergeCell ref="A8:A13"/>
    <mergeCell ref="A14:A19"/>
    <mergeCell ref="A20:A24"/>
    <mergeCell ref="A25:A27"/>
    <mergeCell ref="A28:A32"/>
    <mergeCell ref="A33:A38"/>
    <mergeCell ref="A39:A41"/>
  </mergeCells>
  <conditionalFormatting sqref="A8:G10">
    <cfRule type="cellIs" dxfId="84" priority="1" operator="lessThan">
      <formula>0</formula>
    </cfRule>
  </conditionalFormatting>
  <conditionalFormatting sqref="A25:G25">
    <cfRule type="cellIs" dxfId="83" priority="2" operator="lessThan">
      <formula>0</formula>
    </cfRule>
  </conditionalFormatting>
  <conditionalFormatting sqref="A28:G39">
    <cfRule type="cellIs" dxfId="82" priority="3" operator="lessThan">
      <formula>0</formula>
    </cfRule>
  </conditionalFormatting>
  <conditionalFormatting sqref="A42:G42">
    <cfRule type="cellIs" dxfId="81" priority="4" operator="lessThan">
      <formula>0</formula>
    </cfRule>
  </conditionalFormatting>
  <conditionalFormatting sqref="A45:M45">
    <cfRule type="cellIs" dxfId="80" priority="5" operator="lessThan">
      <formula>0</formula>
    </cfRule>
  </conditionalFormatting>
  <conditionalFormatting sqref="B5:B7">
    <cfRule type="cellIs" dxfId="79" priority="6" operator="lessThan">
      <formula>0</formula>
    </cfRule>
  </conditionalFormatting>
  <conditionalFormatting sqref="B1:C1 I1:K1 M1:M2 A1:A4 L1:L26 N1:Z32 H2:H6 I3:I4 K3:K4 M3:Z4 B3:G6 J3:J24 M5:M26 I7:I24 B11:B24 C13:C16 K13:K17 A14:A16 H14:H18 C19:H24 K19:K24 A20:A24 H28:I31 J28:M38 H33:I37 N34:Z38 N40:Z42">
    <cfRule type="cellIs" dxfId="78" priority="7" operator="lessThan">
      <formula>0</formula>
    </cfRule>
  </conditionalFormatting>
  <conditionalFormatting sqref="B11:H12 B17:G18">
    <cfRule type="cellIs" dxfId="77" priority="8" operator="lessThan">
      <formula>0</formula>
    </cfRule>
  </conditionalFormatting>
  <conditionalFormatting sqref="B25:K26 B27:M27">
    <cfRule type="cellIs" dxfId="76" priority="9" operator="lessThan">
      <formula>0</formula>
    </cfRule>
  </conditionalFormatting>
  <conditionalFormatting sqref="B39:M40 A41:M41">
    <cfRule type="cellIs" dxfId="75" priority="10" operator="lessThan">
      <formula>0</formula>
    </cfRule>
  </conditionalFormatting>
  <conditionalFormatting sqref="B42:M44">
    <cfRule type="cellIs" dxfId="74" priority="11" operator="lessThan">
      <formula>0</formula>
    </cfRule>
  </conditionalFormatting>
  <conditionalFormatting sqref="C7:H7">
    <cfRule type="cellIs" dxfId="73" priority="12" operator="lessThan">
      <formula>0</formula>
    </cfRule>
  </conditionalFormatting>
  <conditionalFormatting sqref="D14:G15 D16 F16:G16">
    <cfRule type="cellIs" dxfId="72" priority="13" operator="lessThan">
      <formula>0</formula>
    </cfRule>
  </conditionalFormatting>
  <conditionalFormatting sqref="D13:H13">
    <cfRule type="cellIs" dxfId="71" priority="14" operator="lessThan">
      <formula>0</formula>
    </cfRule>
  </conditionalFormatting>
  <conditionalFormatting sqref="D32:I32">
    <cfRule type="cellIs" dxfId="70" priority="15" operator="lessThan">
      <formula>0</formula>
    </cfRule>
  </conditionalFormatting>
  <conditionalFormatting sqref="D38:I38">
    <cfRule type="cellIs" dxfId="69" priority="16" operator="lessThan">
      <formula>0</formula>
    </cfRule>
  </conditionalFormatting>
  <conditionalFormatting sqref="F7:H10">
    <cfRule type="cellIs" dxfId="68" priority="17" operator="lessThan">
      <formula>0</formula>
    </cfRule>
  </conditionalFormatting>
  <conditionalFormatting sqref="I5:K6 J12:K12 J18:K18">
    <cfRule type="cellIs" dxfId="67" priority="18" operator="lessThan">
      <formula>0</formula>
    </cfRule>
  </conditionalFormatting>
  <conditionalFormatting sqref="K7:K11">
    <cfRule type="cellIs" dxfId="66" priority="19" operator="lessThan">
      <formula>0</formula>
    </cfRule>
  </conditionalFormatting>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0C4E3"/>
  </sheetPr>
  <dimension ref="A1:M1000"/>
  <sheetViews>
    <sheetView zoomScale="41" workbookViewId="0">
      <selection activeCell="A9" sqref="A9:A13"/>
    </sheetView>
  </sheetViews>
  <sheetFormatPr baseColWidth="10" defaultColWidth="14.5" defaultRowHeight="15" customHeight="1" x14ac:dyDescent="0.2"/>
  <cols>
    <col min="1" max="1" width="50.83203125" customWidth="1"/>
    <col min="2" max="2" width="39.5" customWidth="1"/>
    <col min="3" max="3" width="26.83203125" customWidth="1"/>
    <col min="4" max="4" width="21" customWidth="1"/>
    <col min="5" max="5" width="28.6640625" customWidth="1"/>
    <col min="6" max="6" width="28.33203125" customWidth="1"/>
    <col min="7" max="7" width="33.83203125" customWidth="1"/>
    <col min="8" max="8" width="29.1640625" customWidth="1"/>
    <col min="9" max="9" width="29.5" customWidth="1"/>
    <col min="10" max="10" width="26.83203125" customWidth="1"/>
    <col min="11" max="11" width="30.5" customWidth="1"/>
    <col min="12" max="12" width="28.1640625" customWidth="1"/>
    <col min="13" max="13" width="31" customWidth="1"/>
    <col min="14" max="26" width="8.6640625" customWidth="1"/>
  </cols>
  <sheetData>
    <row r="1" spans="1:13" ht="27.75" customHeight="1" x14ac:dyDescent="0.25">
      <c r="A1" s="606" t="s">
        <v>459</v>
      </c>
      <c r="B1" s="269"/>
      <c r="C1" s="609" t="s">
        <v>379</v>
      </c>
      <c r="D1" s="610"/>
      <c r="E1" s="610"/>
      <c r="F1" s="610"/>
      <c r="G1" s="610"/>
      <c r="H1" s="611"/>
      <c r="I1" s="612" t="s">
        <v>503</v>
      </c>
      <c r="J1" s="610"/>
      <c r="K1" s="610"/>
      <c r="L1" s="610"/>
      <c r="M1" s="611"/>
    </row>
    <row r="2" spans="1:13" ht="27.75" customHeight="1" x14ac:dyDescent="0.25">
      <c r="A2" s="607"/>
      <c r="B2" s="271" t="s">
        <v>460</v>
      </c>
      <c r="C2" s="129" t="s">
        <v>381</v>
      </c>
      <c r="D2" s="130" t="s">
        <v>526</v>
      </c>
      <c r="E2" s="131" t="s">
        <v>527</v>
      </c>
      <c r="F2" s="132" t="s">
        <v>384</v>
      </c>
      <c r="G2" s="133" t="s">
        <v>456</v>
      </c>
      <c r="H2" s="134" t="s">
        <v>386</v>
      </c>
      <c r="I2" s="135" t="s">
        <v>381</v>
      </c>
      <c r="J2" s="136" t="s">
        <v>384</v>
      </c>
      <c r="K2" s="137" t="s">
        <v>456</v>
      </c>
      <c r="L2" s="138" t="s">
        <v>386</v>
      </c>
      <c r="M2" s="139" t="s">
        <v>457</v>
      </c>
    </row>
    <row r="3" spans="1:13" ht="27.75" customHeight="1" x14ac:dyDescent="0.3">
      <c r="A3" s="655" t="s">
        <v>586</v>
      </c>
      <c r="B3" s="273" t="s">
        <v>587</v>
      </c>
      <c r="C3" s="274">
        <v>2000</v>
      </c>
      <c r="D3" s="227">
        <v>0</v>
      </c>
      <c r="E3" s="226">
        <v>0</v>
      </c>
      <c r="F3" s="226">
        <v>0</v>
      </c>
      <c r="G3" s="275">
        <v>1600</v>
      </c>
      <c r="H3" s="228">
        <f t="shared" ref="H3:H7" si="0">F3+G3-C3</f>
        <v>-400</v>
      </c>
      <c r="I3" s="226">
        <f>SUMIFS('Cashbook ING'!$B:$B, 'Cashbook ING'!$A:$A, "TC_Bonn_Transportation")</f>
        <v>-1764.45</v>
      </c>
      <c r="J3" s="226">
        <v>0</v>
      </c>
      <c r="K3" s="277">
        <v>0</v>
      </c>
      <c r="L3" s="228">
        <f>J3+K3+I3</f>
        <v>-1764.45</v>
      </c>
      <c r="M3" s="145">
        <f t="shared" ref="M3:M7" si="1">L3-H3</f>
        <v>-1364.45</v>
      </c>
    </row>
    <row r="4" spans="1:13" ht="27.75" customHeight="1" x14ac:dyDescent="0.3">
      <c r="A4" s="656"/>
      <c r="B4" s="354" t="s">
        <v>489</v>
      </c>
      <c r="C4" s="355">
        <v>0</v>
      </c>
      <c r="D4" s="143">
        <v>0</v>
      </c>
      <c r="E4" s="194">
        <v>0</v>
      </c>
      <c r="F4" s="194">
        <v>0</v>
      </c>
      <c r="G4" s="302">
        <v>0</v>
      </c>
      <c r="H4" s="228">
        <f t="shared" si="0"/>
        <v>0</v>
      </c>
      <c r="I4" s="194">
        <v>0</v>
      </c>
      <c r="J4" s="194">
        <v>0</v>
      </c>
      <c r="K4" s="193">
        <v>0</v>
      </c>
      <c r="L4" s="228">
        <v>0</v>
      </c>
      <c r="M4" s="145">
        <f t="shared" si="1"/>
        <v>0</v>
      </c>
    </row>
    <row r="5" spans="1:13" ht="27.75" customHeight="1" x14ac:dyDescent="0.3">
      <c r="A5" s="656"/>
      <c r="B5" s="354" t="s">
        <v>524</v>
      </c>
      <c r="C5" s="355">
        <v>200</v>
      </c>
      <c r="D5" s="143">
        <v>0</v>
      </c>
      <c r="E5" s="194">
        <v>0</v>
      </c>
      <c r="F5" s="194">
        <v>0</v>
      </c>
      <c r="G5" s="302">
        <v>0</v>
      </c>
      <c r="H5" s="228">
        <f t="shared" si="0"/>
        <v>-200</v>
      </c>
      <c r="I5" s="194">
        <v>0</v>
      </c>
      <c r="J5" s="194">
        <v>0</v>
      </c>
      <c r="K5" s="193">
        <v>0</v>
      </c>
      <c r="L5" s="228">
        <v>0</v>
      </c>
      <c r="M5" s="145">
        <f t="shared" si="1"/>
        <v>200</v>
      </c>
    </row>
    <row r="6" spans="1:13" ht="27.75" customHeight="1" x14ac:dyDescent="0.3">
      <c r="A6" s="656"/>
      <c r="B6" s="278" t="s">
        <v>509</v>
      </c>
      <c r="C6" s="194">
        <v>0</v>
      </c>
      <c r="D6" s="143">
        <v>41</v>
      </c>
      <c r="E6" s="194">
        <v>11</v>
      </c>
      <c r="F6" s="194">
        <f t="shared" ref="F6:F7" si="2">E6*D6</f>
        <v>451</v>
      </c>
      <c r="G6" s="194">
        <v>0</v>
      </c>
      <c r="H6" s="228">
        <f t="shared" si="0"/>
        <v>451</v>
      </c>
      <c r="I6" s="194">
        <v>0</v>
      </c>
      <c r="J6" s="194">
        <f>SUMIFS('Cashbook Wix'!$B$2:$B$7106,'Cashbook Wix'!$A$2:$A$7106,"TC_Bonn_Member")</f>
        <v>350.8499999999998</v>
      </c>
      <c r="K6" s="194">
        <v>0</v>
      </c>
      <c r="L6" s="228">
        <f t="shared" ref="L6:L7" si="3">J6+K6+I6</f>
        <v>350.8499999999998</v>
      </c>
      <c r="M6" s="145">
        <f t="shared" si="1"/>
        <v>-100.1500000000002</v>
      </c>
    </row>
    <row r="7" spans="1:13" ht="27.75" customHeight="1" x14ac:dyDescent="0.3">
      <c r="A7" s="656"/>
      <c r="B7" s="278" t="s">
        <v>510</v>
      </c>
      <c r="C7" s="194">
        <v>0</v>
      </c>
      <c r="D7" s="143">
        <v>10</v>
      </c>
      <c r="E7" s="194">
        <v>14</v>
      </c>
      <c r="F7" s="194">
        <f t="shared" si="2"/>
        <v>140</v>
      </c>
      <c r="G7" s="194">
        <v>0</v>
      </c>
      <c r="H7" s="228">
        <f t="shared" si="0"/>
        <v>140</v>
      </c>
      <c r="I7" s="194">
        <v>0</v>
      </c>
      <c r="J7" s="194">
        <f>SUMIFS('Cashbook Wix'!$B$2:$B$7106,'Cashbook Wix'!$A$2:$A$7106,"TC_Bonn_NonMember")</f>
        <v>148.85000000000002</v>
      </c>
      <c r="K7" s="194">
        <v>0</v>
      </c>
      <c r="L7" s="228">
        <f t="shared" si="3"/>
        <v>148.85000000000002</v>
      </c>
      <c r="M7" s="145">
        <f t="shared" si="1"/>
        <v>8.8500000000000227</v>
      </c>
    </row>
    <row r="8" spans="1:13" ht="27.75" customHeight="1" x14ac:dyDescent="0.3">
      <c r="A8" s="657"/>
      <c r="B8" s="279" t="s">
        <v>511</v>
      </c>
      <c r="C8" s="235">
        <f t="shared" ref="C8:D8" si="4">SUM(C3:C7)</f>
        <v>2200</v>
      </c>
      <c r="D8" s="234">
        <f t="shared" si="4"/>
        <v>51</v>
      </c>
      <c r="E8" s="235">
        <v>0</v>
      </c>
      <c r="F8" s="233">
        <f t="shared" ref="F8:H8" si="5">SUM(F3:F7)</f>
        <v>591</v>
      </c>
      <c r="G8" s="233">
        <f t="shared" si="5"/>
        <v>1600</v>
      </c>
      <c r="H8" s="236">
        <f t="shared" si="5"/>
        <v>-9</v>
      </c>
      <c r="I8" s="235">
        <f>SUM(I3)</f>
        <v>-1764.45</v>
      </c>
      <c r="J8" s="233">
        <f t="shared" ref="J8:M8" si="6">SUM(J3:J7)</f>
        <v>499.69999999999982</v>
      </c>
      <c r="K8" s="233">
        <f t="shared" si="6"/>
        <v>0</v>
      </c>
      <c r="L8" s="236">
        <f t="shared" si="6"/>
        <v>-1264.7500000000005</v>
      </c>
      <c r="M8" s="232">
        <f t="shared" si="6"/>
        <v>-1255.7500000000005</v>
      </c>
    </row>
    <row r="9" spans="1:13" ht="27.75" customHeight="1" x14ac:dyDescent="0.3">
      <c r="A9" s="658" t="s">
        <v>588</v>
      </c>
      <c r="B9" s="356" t="s">
        <v>589</v>
      </c>
      <c r="C9" s="226">
        <v>1300</v>
      </c>
      <c r="D9" s="227">
        <v>0</v>
      </c>
      <c r="E9" s="226">
        <v>0</v>
      </c>
      <c r="F9" s="226">
        <v>0</v>
      </c>
      <c r="G9" s="226">
        <v>1200</v>
      </c>
      <c r="H9" s="276">
        <f>F9+G9-C9</f>
        <v>-100</v>
      </c>
      <c r="I9" s="226">
        <f>SUMIFS('Cashbook ING'!$B:$B, 'Cashbook ING'!$A:$A, "AC_BookExchange_Snacks")</f>
        <v>0</v>
      </c>
      <c r="J9" s="226">
        <v>0</v>
      </c>
      <c r="K9" s="226">
        <v>0</v>
      </c>
      <c r="L9" s="242">
        <f>J9+K9+I9</f>
        <v>0</v>
      </c>
      <c r="M9" s="243">
        <f t="shared" ref="M9:M12" si="7">L9-H9</f>
        <v>100</v>
      </c>
    </row>
    <row r="10" spans="1:13" ht="27.75" customHeight="1" x14ac:dyDescent="0.3">
      <c r="A10" s="656"/>
      <c r="B10" s="278" t="s">
        <v>524</v>
      </c>
      <c r="C10" s="194">
        <v>130</v>
      </c>
      <c r="D10" s="143">
        <v>0</v>
      </c>
      <c r="E10" s="194">
        <v>0</v>
      </c>
      <c r="F10" s="194">
        <v>0</v>
      </c>
      <c r="G10" s="194">
        <v>0</v>
      </c>
      <c r="H10" s="228">
        <v>0</v>
      </c>
      <c r="I10" s="194">
        <v>0</v>
      </c>
      <c r="J10" s="194">
        <v>0</v>
      </c>
      <c r="K10" s="194">
        <v>0</v>
      </c>
      <c r="L10" s="228">
        <v>0</v>
      </c>
      <c r="M10" s="145">
        <f t="shared" si="7"/>
        <v>0</v>
      </c>
    </row>
    <row r="11" spans="1:13" ht="27.75" customHeight="1" x14ac:dyDescent="0.3">
      <c r="A11" s="656"/>
      <c r="B11" s="278" t="s">
        <v>509</v>
      </c>
      <c r="C11" s="194">
        <v>0</v>
      </c>
      <c r="D11" s="143">
        <v>25</v>
      </c>
      <c r="E11" s="194">
        <v>6</v>
      </c>
      <c r="F11" s="194">
        <f t="shared" ref="F11:F12" si="8">E11*D11</f>
        <v>150</v>
      </c>
      <c r="G11" s="194">
        <v>0</v>
      </c>
      <c r="H11" s="228">
        <f t="shared" ref="H11:H12" si="9">F11+G11-C11</f>
        <v>150</v>
      </c>
      <c r="I11" s="194">
        <v>0</v>
      </c>
      <c r="J11" s="194">
        <f>SUMIFS('Cashbook Wix'!$B$2:$B$7106,'Cashbook Wix'!$A$2:$A$7106,"AC_")</f>
        <v>0</v>
      </c>
      <c r="K11" s="194">
        <v>0</v>
      </c>
      <c r="L11" s="228">
        <f t="shared" ref="L11:L12" si="10">J11+K11+I11</f>
        <v>0</v>
      </c>
      <c r="M11" s="145">
        <f t="shared" si="7"/>
        <v>-150</v>
      </c>
    </row>
    <row r="12" spans="1:13" ht="27.75" customHeight="1" x14ac:dyDescent="0.3">
      <c r="A12" s="656"/>
      <c r="B12" s="278" t="s">
        <v>510</v>
      </c>
      <c r="C12" s="194">
        <v>0</v>
      </c>
      <c r="D12" s="143">
        <v>5</v>
      </c>
      <c r="E12" s="194">
        <v>8</v>
      </c>
      <c r="F12" s="194">
        <f t="shared" si="8"/>
        <v>40</v>
      </c>
      <c r="G12" s="194">
        <v>0</v>
      </c>
      <c r="H12" s="228">
        <f t="shared" si="9"/>
        <v>40</v>
      </c>
      <c r="I12" s="194">
        <v>0</v>
      </c>
      <c r="J12" s="194">
        <f>SUMIFS('Cashbook Wix'!$B$2:$B$7106,'Cashbook Wix'!$A$2:$A$7106,"AC_")</f>
        <v>0</v>
      </c>
      <c r="K12" s="194">
        <v>0</v>
      </c>
      <c r="L12" s="228">
        <f t="shared" si="10"/>
        <v>0</v>
      </c>
      <c r="M12" s="145">
        <f t="shared" si="7"/>
        <v>-40</v>
      </c>
    </row>
    <row r="13" spans="1:13" ht="27.75" customHeight="1" x14ac:dyDescent="0.3">
      <c r="A13" s="657"/>
      <c r="B13" s="279" t="s">
        <v>511</v>
      </c>
      <c r="C13" s="235">
        <f t="shared" ref="C13:D13" si="11">SUM(C9:C12)</f>
        <v>1430</v>
      </c>
      <c r="D13" s="234">
        <f t="shared" si="11"/>
        <v>30</v>
      </c>
      <c r="E13" s="235">
        <v>0</v>
      </c>
      <c r="F13" s="235">
        <f t="shared" ref="F13:H13" si="12">SUM(F9:F12)</f>
        <v>190</v>
      </c>
      <c r="G13" s="235">
        <f t="shared" si="12"/>
        <v>1200</v>
      </c>
      <c r="H13" s="232">
        <f t="shared" si="12"/>
        <v>90</v>
      </c>
      <c r="I13" s="235">
        <f>SUM(I9)</f>
        <v>0</v>
      </c>
      <c r="J13" s="235">
        <f t="shared" ref="J13:M13" si="13">SUM(J9:J12)</f>
        <v>0</v>
      </c>
      <c r="K13" s="235">
        <f t="shared" si="13"/>
        <v>0</v>
      </c>
      <c r="L13" s="232">
        <f t="shared" si="13"/>
        <v>0</v>
      </c>
      <c r="M13" s="232">
        <f t="shared" si="13"/>
        <v>-90</v>
      </c>
    </row>
    <row r="14" spans="1:13" ht="27.75" customHeight="1" x14ac:dyDescent="0.3">
      <c r="A14" s="652" t="s">
        <v>590</v>
      </c>
      <c r="B14" s="281" t="s">
        <v>587</v>
      </c>
      <c r="C14" s="241">
        <v>1600</v>
      </c>
      <c r="D14" s="247">
        <v>0</v>
      </c>
      <c r="E14" s="241">
        <v>0</v>
      </c>
      <c r="F14" s="241">
        <v>0</v>
      </c>
      <c r="G14" s="178">
        <v>1200</v>
      </c>
      <c r="H14" s="242">
        <f t="shared" ref="H14:H18" si="14">F14+G14-C14</f>
        <v>-400</v>
      </c>
      <c r="I14" s="241">
        <f>SUMIFS('Cashbook ING'!$B:$B, 'Cashbook ING'!$A:$A, "AC_RhetoricSpeechEvent_Rent")*1</f>
        <v>0</v>
      </c>
      <c r="J14" s="241">
        <v>0</v>
      </c>
      <c r="K14" s="241">
        <v>0</v>
      </c>
      <c r="L14" s="242">
        <f t="shared" ref="L14:L18" si="15">J14+K14+I14</f>
        <v>0</v>
      </c>
      <c r="M14" s="243">
        <f t="shared" ref="M14:M18" si="16">L14-H14</f>
        <v>400</v>
      </c>
    </row>
    <row r="15" spans="1:13" ht="27.75" customHeight="1" x14ac:dyDescent="0.3">
      <c r="A15" s="653"/>
      <c r="B15" s="278" t="s">
        <v>489</v>
      </c>
      <c r="C15" s="194">
        <v>20</v>
      </c>
      <c r="D15" s="143">
        <v>0</v>
      </c>
      <c r="E15" s="194">
        <v>0</v>
      </c>
      <c r="F15" s="194">
        <v>0</v>
      </c>
      <c r="G15" s="194">
        <v>0</v>
      </c>
      <c r="H15" s="228">
        <f t="shared" si="14"/>
        <v>-20</v>
      </c>
      <c r="I15" s="194">
        <f>SUMIFS('Cashbook ING'!$B:$B, 'Cashbook ING'!$A:$A, "AC_RhetoricSpeechEvent_Flowers")*1</f>
        <v>0</v>
      </c>
      <c r="J15" s="194">
        <v>0</v>
      </c>
      <c r="K15" s="194">
        <v>0</v>
      </c>
      <c r="L15" s="228">
        <f t="shared" si="15"/>
        <v>0</v>
      </c>
      <c r="M15" s="145">
        <f t="shared" si="16"/>
        <v>20</v>
      </c>
    </row>
    <row r="16" spans="1:13" ht="27.75" customHeight="1" x14ac:dyDescent="0.3">
      <c r="A16" s="653"/>
      <c r="B16" s="278" t="s">
        <v>524</v>
      </c>
      <c r="C16" s="194">
        <v>160</v>
      </c>
      <c r="D16" s="143">
        <v>0</v>
      </c>
      <c r="E16" s="194">
        <v>0</v>
      </c>
      <c r="F16" s="194">
        <v>0</v>
      </c>
      <c r="G16" s="194">
        <v>0</v>
      </c>
      <c r="H16" s="228">
        <f t="shared" si="14"/>
        <v>-160</v>
      </c>
      <c r="I16" s="194">
        <v>0</v>
      </c>
      <c r="J16" s="194">
        <v>0</v>
      </c>
      <c r="K16" s="194">
        <v>0</v>
      </c>
      <c r="L16" s="228">
        <f t="shared" si="15"/>
        <v>0</v>
      </c>
      <c r="M16" s="145">
        <f t="shared" si="16"/>
        <v>160</v>
      </c>
    </row>
    <row r="17" spans="1:13" ht="27.75" customHeight="1" x14ac:dyDescent="0.3">
      <c r="A17" s="653"/>
      <c r="B17" s="278" t="s">
        <v>509</v>
      </c>
      <c r="C17" s="194">
        <v>0</v>
      </c>
      <c r="D17" s="143">
        <v>36</v>
      </c>
      <c r="E17" s="194">
        <v>8</v>
      </c>
      <c r="F17" s="194">
        <f t="shared" ref="F17:F18" si="17">E17*D17</f>
        <v>288</v>
      </c>
      <c r="G17" s="194">
        <v>0</v>
      </c>
      <c r="H17" s="228">
        <f t="shared" si="14"/>
        <v>288</v>
      </c>
      <c r="I17" s="194">
        <v>0</v>
      </c>
      <c r="J17" s="194">
        <f>SUMIFS('Cashbook Wix'!$B$2:$B$7106,'Cashbook Wix'!$A$2:$A$7106,"AC_")</f>
        <v>0</v>
      </c>
      <c r="K17" s="194">
        <v>0</v>
      </c>
      <c r="L17" s="228">
        <f t="shared" si="15"/>
        <v>0</v>
      </c>
      <c r="M17" s="145">
        <f t="shared" si="16"/>
        <v>-288</v>
      </c>
    </row>
    <row r="18" spans="1:13" ht="27.75" customHeight="1" x14ac:dyDescent="0.3">
      <c r="A18" s="653"/>
      <c r="B18" s="278" t="s">
        <v>510</v>
      </c>
      <c r="C18" s="194">
        <v>0</v>
      </c>
      <c r="D18" s="143">
        <v>5</v>
      </c>
      <c r="E18" s="194">
        <v>10</v>
      </c>
      <c r="F18" s="194">
        <f t="shared" si="17"/>
        <v>50</v>
      </c>
      <c r="G18" s="194">
        <v>0</v>
      </c>
      <c r="H18" s="228">
        <f t="shared" si="14"/>
        <v>50</v>
      </c>
      <c r="I18" s="194">
        <f>SUMIFS('Cashbook ING'!$B:$B, 'Cashbook ING'!$A:$A, "AC_")*-1</f>
        <v>0</v>
      </c>
      <c r="J18" s="194">
        <f>SUMIFS('Cashbook Wix'!$B$2:$B$7106,'Cashbook Wix'!$A$2:$A$7106,"AC_")</f>
        <v>0</v>
      </c>
      <c r="K18" s="194">
        <v>0</v>
      </c>
      <c r="L18" s="228">
        <f t="shared" si="15"/>
        <v>0</v>
      </c>
      <c r="M18" s="145">
        <f t="shared" si="16"/>
        <v>-50</v>
      </c>
    </row>
    <row r="19" spans="1:13" ht="27.75" customHeight="1" x14ac:dyDescent="0.3">
      <c r="A19" s="654"/>
      <c r="B19" s="279" t="s">
        <v>511</v>
      </c>
      <c r="C19" s="235">
        <f t="shared" ref="C19:D19" si="18">SUM(C14:C18)</f>
        <v>1780</v>
      </c>
      <c r="D19" s="234">
        <f t="shared" si="18"/>
        <v>41</v>
      </c>
      <c r="E19" s="235">
        <v>0</v>
      </c>
      <c r="F19" s="235">
        <f t="shared" ref="F19:H19" si="19">SUM(F14:F18)</f>
        <v>338</v>
      </c>
      <c r="G19" s="235">
        <f t="shared" si="19"/>
        <v>1200</v>
      </c>
      <c r="H19" s="232">
        <f t="shared" si="19"/>
        <v>-242</v>
      </c>
      <c r="I19" s="235">
        <f>SUM(I14:I17)</f>
        <v>0</v>
      </c>
      <c r="J19" s="235">
        <f t="shared" ref="J19:M19" si="20">SUM(J14:J18)</f>
        <v>0</v>
      </c>
      <c r="K19" s="235">
        <f t="shared" si="20"/>
        <v>0</v>
      </c>
      <c r="L19" s="232">
        <f t="shared" si="20"/>
        <v>0</v>
      </c>
      <c r="M19" s="232">
        <f t="shared" si="20"/>
        <v>242</v>
      </c>
    </row>
    <row r="20" spans="1:13" ht="27.75" customHeight="1" x14ac:dyDescent="0.3">
      <c r="A20" s="652" t="s">
        <v>591</v>
      </c>
      <c r="B20" s="281" t="s">
        <v>587</v>
      </c>
      <c r="C20" s="241">
        <v>4200</v>
      </c>
      <c r="D20" s="247">
        <v>0</v>
      </c>
      <c r="E20" s="241">
        <v>0</v>
      </c>
      <c r="F20" s="241">
        <v>0</v>
      </c>
      <c r="G20" s="178">
        <v>0</v>
      </c>
      <c r="H20" s="242">
        <f t="shared" ref="H20:H27" si="21">F20+G20-C20</f>
        <v>-4200</v>
      </c>
      <c r="I20" s="241">
        <f>SUMIFS('Cashbook ING'!$B:$B, 'Cashbook ING'!$A:$A, "TC_Paris_Accomodation")*1</f>
        <v>-589.52</v>
      </c>
      <c r="J20" s="241">
        <v>0</v>
      </c>
      <c r="K20" s="241">
        <v>0</v>
      </c>
      <c r="L20" s="242">
        <f t="shared" ref="L20:L27" si="22">J20+K20+I20</f>
        <v>-589.52</v>
      </c>
      <c r="M20" s="243">
        <f t="shared" ref="M20:M27" si="23">L20-H20</f>
        <v>3610.48</v>
      </c>
    </row>
    <row r="21" spans="1:13" ht="27.75" customHeight="1" x14ac:dyDescent="0.3">
      <c r="A21" s="653"/>
      <c r="B21" s="278" t="s">
        <v>592</v>
      </c>
      <c r="C21" s="194">
        <v>3600</v>
      </c>
      <c r="D21" s="143">
        <v>0</v>
      </c>
      <c r="E21" s="194">
        <v>0</v>
      </c>
      <c r="F21" s="194">
        <v>0</v>
      </c>
      <c r="G21" s="194">
        <v>0</v>
      </c>
      <c r="H21" s="228">
        <f t="shared" si="21"/>
        <v>-3600</v>
      </c>
      <c r="I21" s="194">
        <f>SUMIFS('Cashbook ING'!$B:$B, 'Cashbook ING'!$A:$A, "AC_RhetoricSpeechEvent_Flowers")*1</f>
        <v>0</v>
      </c>
      <c r="J21" s="194">
        <v>0</v>
      </c>
      <c r="K21" s="194">
        <v>0</v>
      </c>
      <c r="L21" s="228">
        <f t="shared" si="22"/>
        <v>0</v>
      </c>
      <c r="M21" s="145">
        <f t="shared" si="23"/>
        <v>3600</v>
      </c>
    </row>
    <row r="22" spans="1:13" ht="27.75" customHeight="1" x14ac:dyDescent="0.3">
      <c r="A22" s="653"/>
      <c r="B22" s="278" t="s">
        <v>593</v>
      </c>
      <c r="C22" s="194">
        <v>700</v>
      </c>
      <c r="D22" s="143">
        <v>0</v>
      </c>
      <c r="E22" s="194">
        <v>0</v>
      </c>
      <c r="F22" s="194">
        <v>0</v>
      </c>
      <c r="G22" s="194">
        <v>0</v>
      </c>
      <c r="H22" s="228">
        <f t="shared" si="21"/>
        <v>-700</v>
      </c>
      <c r="I22" s="194">
        <v>0</v>
      </c>
      <c r="J22" s="194">
        <v>0</v>
      </c>
      <c r="K22" s="194">
        <v>0</v>
      </c>
      <c r="L22" s="228">
        <f t="shared" si="22"/>
        <v>0</v>
      </c>
      <c r="M22" s="145">
        <f t="shared" si="23"/>
        <v>700</v>
      </c>
    </row>
    <row r="23" spans="1:13" ht="27.75" customHeight="1" x14ac:dyDescent="0.3">
      <c r="A23" s="653"/>
      <c r="B23" s="278" t="s">
        <v>594</v>
      </c>
      <c r="C23" s="194">
        <v>700</v>
      </c>
      <c r="D23" s="143">
        <v>0</v>
      </c>
      <c r="E23" s="194">
        <v>0</v>
      </c>
      <c r="F23" s="194">
        <v>0</v>
      </c>
      <c r="G23" s="194">
        <v>0</v>
      </c>
      <c r="H23" s="228">
        <f t="shared" si="21"/>
        <v>-700</v>
      </c>
      <c r="I23" s="194">
        <v>0</v>
      </c>
      <c r="J23" s="194">
        <v>0</v>
      </c>
      <c r="K23" s="194">
        <v>0</v>
      </c>
      <c r="L23" s="228">
        <f t="shared" si="22"/>
        <v>0</v>
      </c>
      <c r="M23" s="145">
        <f t="shared" si="23"/>
        <v>700</v>
      </c>
    </row>
    <row r="24" spans="1:13" ht="27.75" customHeight="1" x14ac:dyDescent="0.3">
      <c r="A24" s="653"/>
      <c r="B24" s="278" t="s">
        <v>595</v>
      </c>
      <c r="C24" s="194">
        <v>0</v>
      </c>
      <c r="D24" s="143">
        <v>0</v>
      </c>
      <c r="E24" s="194">
        <v>0</v>
      </c>
      <c r="F24" s="194">
        <v>0</v>
      </c>
      <c r="G24" s="194">
        <v>0</v>
      </c>
      <c r="H24" s="228">
        <f t="shared" si="21"/>
        <v>0</v>
      </c>
      <c r="I24" s="194">
        <v>0</v>
      </c>
      <c r="J24" s="194">
        <v>0</v>
      </c>
      <c r="K24" s="194">
        <v>0</v>
      </c>
      <c r="L24" s="228">
        <f t="shared" si="22"/>
        <v>0</v>
      </c>
      <c r="M24" s="145">
        <f t="shared" si="23"/>
        <v>0</v>
      </c>
    </row>
    <row r="25" spans="1:13" ht="27.75" customHeight="1" x14ac:dyDescent="0.3">
      <c r="A25" s="653"/>
      <c r="B25" s="278" t="s">
        <v>524</v>
      </c>
      <c r="C25" s="194">
        <v>980</v>
      </c>
      <c r="D25" s="143">
        <v>0</v>
      </c>
      <c r="E25" s="194">
        <v>0</v>
      </c>
      <c r="F25" s="194">
        <v>0</v>
      </c>
      <c r="G25" s="194">
        <v>0</v>
      </c>
      <c r="H25" s="228">
        <f t="shared" si="21"/>
        <v>-980</v>
      </c>
      <c r="I25" s="194">
        <v>0</v>
      </c>
      <c r="J25" s="194">
        <v>0</v>
      </c>
      <c r="K25" s="194">
        <v>0</v>
      </c>
      <c r="L25" s="228">
        <f t="shared" si="22"/>
        <v>0</v>
      </c>
      <c r="M25" s="145">
        <f t="shared" si="23"/>
        <v>980</v>
      </c>
    </row>
    <row r="26" spans="1:13" ht="27.75" customHeight="1" x14ac:dyDescent="0.3">
      <c r="A26" s="653"/>
      <c r="B26" s="278" t="s">
        <v>509</v>
      </c>
      <c r="C26" s="194">
        <v>0</v>
      </c>
      <c r="D26" s="143">
        <v>48</v>
      </c>
      <c r="E26" s="194">
        <v>140</v>
      </c>
      <c r="F26" s="194">
        <f t="shared" ref="F26:F27" si="24">E26*D26</f>
        <v>6720</v>
      </c>
      <c r="G26" s="194">
        <v>0</v>
      </c>
      <c r="H26" s="228">
        <f t="shared" si="21"/>
        <v>6720</v>
      </c>
      <c r="I26" s="194">
        <v>0</v>
      </c>
      <c r="J26" s="194">
        <f>SUMIFS('Cashbook Wix'!$B$2:$B$7106,'Cashbook Wix'!$A$2:$A$7106,"AC_")</f>
        <v>0</v>
      </c>
      <c r="K26" s="194">
        <v>0</v>
      </c>
      <c r="L26" s="228">
        <f t="shared" si="22"/>
        <v>0</v>
      </c>
      <c r="M26" s="228">
        <f t="shared" si="23"/>
        <v>-6720</v>
      </c>
    </row>
    <row r="27" spans="1:13" ht="27.75" customHeight="1" x14ac:dyDescent="0.3">
      <c r="A27" s="653"/>
      <c r="B27" s="278" t="s">
        <v>596</v>
      </c>
      <c r="C27" s="194">
        <v>0</v>
      </c>
      <c r="D27" s="143">
        <v>13</v>
      </c>
      <c r="E27" s="194">
        <v>100</v>
      </c>
      <c r="F27" s="194">
        <f t="shared" si="24"/>
        <v>1300</v>
      </c>
      <c r="G27" s="194">
        <v>0</v>
      </c>
      <c r="H27" s="228">
        <f t="shared" si="21"/>
        <v>1300</v>
      </c>
      <c r="I27" s="194">
        <f>SUMIFS('Cashbook ING'!$B:$B, 'Cashbook ING'!$A:$A, "AC_")*-1</f>
        <v>0</v>
      </c>
      <c r="J27" s="194">
        <f>SUMIFS('Cashbook Wix'!$B$2:$B$7106,'Cashbook Wix'!$A$2:$A$7106,"AC_")</f>
        <v>0</v>
      </c>
      <c r="K27" s="194">
        <v>0</v>
      </c>
      <c r="L27" s="228">
        <f t="shared" si="22"/>
        <v>0</v>
      </c>
      <c r="M27" s="228">
        <f t="shared" si="23"/>
        <v>-1300</v>
      </c>
    </row>
    <row r="28" spans="1:13" ht="27.75" customHeight="1" x14ac:dyDescent="0.3">
      <c r="A28" s="654"/>
      <c r="B28" s="279" t="s">
        <v>511</v>
      </c>
      <c r="C28" s="235">
        <f t="shared" ref="C28:D28" si="25">SUM(C20:C27)</f>
        <v>10180</v>
      </c>
      <c r="D28" s="234">
        <f t="shared" si="25"/>
        <v>61</v>
      </c>
      <c r="E28" s="235">
        <v>0</v>
      </c>
      <c r="F28" s="235">
        <f t="shared" ref="F28:H28" si="26">SUM(F20:F27)</f>
        <v>8020</v>
      </c>
      <c r="G28" s="235">
        <f t="shared" si="26"/>
        <v>0</v>
      </c>
      <c r="H28" s="232">
        <f t="shared" si="26"/>
        <v>-2160</v>
      </c>
      <c r="I28" s="235">
        <f>SUM(I20:I26)</f>
        <v>-589.52</v>
      </c>
      <c r="J28" s="235">
        <f t="shared" ref="J28:M28" si="27">SUM(J20:J27)</f>
        <v>0</v>
      </c>
      <c r="K28" s="235">
        <f t="shared" si="27"/>
        <v>0</v>
      </c>
      <c r="L28" s="232">
        <f t="shared" si="27"/>
        <v>-589.52</v>
      </c>
      <c r="M28" s="232">
        <f t="shared" si="27"/>
        <v>1570.4799999999996</v>
      </c>
    </row>
    <row r="29" spans="1:13" ht="27.75" customHeight="1" x14ac:dyDescent="0.35">
      <c r="A29" s="357"/>
      <c r="B29" s="327" t="s">
        <v>450</v>
      </c>
      <c r="C29" s="328">
        <f t="shared" ref="C29:M29" si="28">SUM(C8+C13+C19+C28)</f>
        <v>15590</v>
      </c>
      <c r="D29" s="328">
        <f t="shared" si="28"/>
        <v>183</v>
      </c>
      <c r="E29" s="328">
        <f t="shared" si="28"/>
        <v>0</v>
      </c>
      <c r="F29" s="328">
        <f t="shared" si="28"/>
        <v>9139</v>
      </c>
      <c r="G29" s="328">
        <f t="shared" si="28"/>
        <v>4000</v>
      </c>
      <c r="H29" s="328">
        <f t="shared" si="28"/>
        <v>-2321</v>
      </c>
      <c r="I29" s="328">
        <f t="shared" si="28"/>
        <v>-2353.9700000000003</v>
      </c>
      <c r="J29" s="328">
        <f t="shared" si="28"/>
        <v>499.69999999999982</v>
      </c>
      <c r="K29" s="328">
        <f t="shared" si="28"/>
        <v>0</v>
      </c>
      <c r="L29" s="328">
        <f t="shared" si="28"/>
        <v>-1854.2700000000004</v>
      </c>
      <c r="M29" s="328">
        <f t="shared" si="28"/>
        <v>466.72999999999911</v>
      </c>
    </row>
    <row r="30" spans="1:13" ht="27.75" customHeight="1" x14ac:dyDescent="0.2"/>
    <row r="31" spans="1:13" ht="14.25" customHeight="1" x14ac:dyDescent="0.2"/>
    <row r="32" spans="1:13" ht="14.25" customHeight="1" x14ac:dyDescent="0.2"/>
    <row r="33" ht="14.25" customHeight="1" x14ac:dyDescent="0.2"/>
    <row r="34" ht="14.25" customHeight="1" x14ac:dyDescent="0.2"/>
    <row r="35" ht="14.25" customHeight="1" x14ac:dyDescent="0.2"/>
    <row r="36" ht="14.25" customHeight="1" x14ac:dyDescent="0.2"/>
    <row r="37" ht="26.25" customHeight="1" x14ac:dyDescent="0.2"/>
    <row r="38" ht="37.5" customHeight="1" x14ac:dyDescent="0.2"/>
    <row r="39" ht="56.25" customHeight="1" x14ac:dyDescent="0.2"/>
    <row r="40" ht="56.25" customHeight="1" x14ac:dyDescent="0.2"/>
    <row r="41" ht="56.25" customHeight="1" x14ac:dyDescent="0.2"/>
    <row r="42" ht="56.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7">
    <mergeCell ref="A14:A19"/>
    <mergeCell ref="A20:A28"/>
    <mergeCell ref="A1:A2"/>
    <mergeCell ref="C1:H1"/>
    <mergeCell ref="I1:M1"/>
    <mergeCell ref="A3:A8"/>
    <mergeCell ref="A9:A13"/>
  </mergeCells>
  <conditionalFormatting sqref="A1:C1 I1:M1 A2:B2 L2:M2 H2:H7">
    <cfRule type="cellIs" dxfId="65" priority="1" operator="lessThan">
      <formula>0</formula>
    </cfRule>
  </conditionalFormatting>
  <conditionalFormatting sqref="A3:E5 B9:H12 A9:A13 D13:E16 A14:C16 F14:G16 H14:I18">
    <cfRule type="cellIs" dxfId="64" priority="2" operator="lessThan">
      <formula>0</formula>
    </cfRule>
  </conditionalFormatting>
  <conditionalFormatting sqref="A6:G7">
    <cfRule type="cellIs" dxfId="63" priority="3" operator="lessThan">
      <formula>0</formula>
    </cfRule>
  </conditionalFormatting>
  <conditionalFormatting sqref="A17:G18">
    <cfRule type="cellIs" dxfId="62" priority="4" operator="lessThan">
      <formula>0</formula>
    </cfRule>
  </conditionalFormatting>
  <conditionalFormatting sqref="A8:H8">
    <cfRule type="cellIs" dxfId="61" priority="5" operator="lessThan">
      <formula>0</formula>
    </cfRule>
  </conditionalFormatting>
  <conditionalFormatting sqref="A20:I27">
    <cfRule type="cellIs" dxfId="60" priority="6" operator="lessThan">
      <formula>0</formula>
    </cfRule>
  </conditionalFormatting>
  <conditionalFormatting sqref="A28:K28">
    <cfRule type="cellIs" dxfId="59" priority="7" operator="lessThan">
      <formula>0</formula>
    </cfRule>
  </conditionalFormatting>
  <conditionalFormatting sqref="A19:M19">
    <cfRule type="cellIs" dxfId="58" priority="8" operator="lessThan">
      <formula>0</formula>
    </cfRule>
  </conditionalFormatting>
  <conditionalFormatting sqref="A29:M29">
    <cfRule type="cellIs" dxfId="57" priority="9" operator="lessThan">
      <formula>0</formula>
    </cfRule>
    <cfRule type="cellIs" dxfId="56" priority="10" operator="lessThan">
      <formula>#REF!</formula>
    </cfRule>
  </conditionalFormatting>
  <conditionalFormatting sqref="B11:K13">
    <cfRule type="cellIs" dxfId="55" priority="11" operator="lessThan">
      <formula>0</formula>
    </cfRule>
  </conditionalFormatting>
  <conditionalFormatting sqref="C13">
    <cfRule type="cellIs" dxfId="54" priority="12" operator="lessThan">
      <formula>0</formula>
    </cfRule>
  </conditionalFormatting>
  <conditionalFormatting sqref="F3:F7">
    <cfRule type="cellIs" dxfId="53" priority="13" operator="lessThan">
      <formula>0</formula>
    </cfRule>
  </conditionalFormatting>
  <conditionalFormatting sqref="F13:K13">
    <cfRule type="cellIs" dxfId="52" priority="14" operator="lessThan">
      <formula>0</formula>
    </cfRule>
  </conditionalFormatting>
  <conditionalFormatting sqref="G3:G5">
    <cfRule type="cellIs" dxfId="51" priority="15" operator="lessThan">
      <formula>0</formula>
    </cfRule>
  </conditionalFormatting>
  <conditionalFormatting sqref="I3:I8">
    <cfRule type="cellIs" dxfId="50" priority="16" operator="lessThan">
      <formula>0</formula>
    </cfRule>
  </conditionalFormatting>
  <conditionalFormatting sqref="I11:I12">
    <cfRule type="cellIs" dxfId="49" priority="17" operator="lessThan">
      <formula>0</formula>
    </cfRule>
  </conditionalFormatting>
  <conditionalFormatting sqref="I9:K10">
    <cfRule type="cellIs" dxfId="48" priority="18" operator="lessThan">
      <formula>0</formula>
    </cfRule>
  </conditionalFormatting>
  <conditionalFormatting sqref="J21:K27">
    <cfRule type="cellIs" dxfId="47" priority="19" operator="lessThan">
      <formula>0</formula>
    </cfRule>
  </conditionalFormatting>
  <conditionalFormatting sqref="J3:M18">
    <cfRule type="cellIs" dxfId="46" priority="20" operator="lessThan">
      <formula>0</formula>
    </cfRule>
  </conditionalFormatting>
  <conditionalFormatting sqref="J20:M20 L21:M28">
    <cfRule type="cellIs" dxfId="45" priority="21" operator="lessThan">
      <formula>0</formula>
    </cfRule>
  </conditionalFormatting>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DECEE"/>
  </sheetPr>
  <dimension ref="A1:AB1000"/>
  <sheetViews>
    <sheetView showGridLines="0" zoomScale="48" workbookViewId="0">
      <pane xSplit="1" ySplit="2" topLeftCell="B31" activePane="bottomRight" state="frozen"/>
      <selection pane="topRight" activeCell="B1" sqref="B1"/>
      <selection pane="bottomLeft" activeCell="A3" sqref="A3"/>
      <selection pane="bottomRight" activeCell="C51" sqref="C51"/>
    </sheetView>
  </sheetViews>
  <sheetFormatPr baseColWidth="10" defaultColWidth="14.5" defaultRowHeight="15" customHeight="1" x14ac:dyDescent="0.2"/>
  <cols>
    <col min="1" max="1" width="50.33203125" customWidth="1"/>
    <col min="2" max="2" width="44.1640625" customWidth="1"/>
    <col min="3" max="3" width="27.6640625" customWidth="1"/>
    <col min="4" max="4" width="21.6640625" customWidth="1"/>
    <col min="5" max="6" width="27.6640625" customWidth="1"/>
    <col min="7" max="7" width="34.1640625" customWidth="1"/>
    <col min="8" max="8" width="22.6640625" customWidth="1"/>
    <col min="9" max="13" width="27.6640625" customWidth="1"/>
    <col min="14" max="14" width="25.33203125" customWidth="1"/>
    <col min="15" max="15" width="23.5" customWidth="1"/>
  </cols>
  <sheetData>
    <row r="1" spans="1:28" ht="27.75" customHeight="1" x14ac:dyDescent="0.25">
      <c r="A1" s="662" t="s">
        <v>378</v>
      </c>
      <c r="B1" s="664" t="s">
        <v>330</v>
      </c>
      <c r="C1" s="609" t="s">
        <v>379</v>
      </c>
      <c r="D1" s="610"/>
      <c r="E1" s="610"/>
      <c r="F1" s="610"/>
      <c r="G1" s="610"/>
      <c r="H1" s="611"/>
      <c r="I1" s="612" t="s">
        <v>503</v>
      </c>
      <c r="J1" s="610"/>
      <c r="K1" s="610"/>
      <c r="L1" s="610"/>
      <c r="M1" s="611"/>
      <c r="N1" s="358"/>
      <c r="O1" s="358"/>
      <c r="P1" s="358"/>
      <c r="Q1" s="358"/>
      <c r="R1" s="358"/>
      <c r="S1" s="358"/>
      <c r="T1" s="358"/>
      <c r="U1" s="358"/>
      <c r="V1" s="358"/>
      <c r="W1" s="358"/>
      <c r="X1" s="358"/>
      <c r="Y1" s="358"/>
      <c r="Z1" s="358"/>
      <c r="AA1" s="358"/>
      <c r="AB1" s="358"/>
    </row>
    <row r="2" spans="1:28" ht="27.75" customHeight="1" x14ac:dyDescent="0.25">
      <c r="A2" s="663"/>
      <c r="B2" s="665"/>
      <c r="C2" s="129" t="s">
        <v>381</v>
      </c>
      <c r="D2" s="130" t="s">
        <v>504</v>
      </c>
      <c r="E2" s="131" t="s">
        <v>505</v>
      </c>
      <c r="F2" s="132" t="s">
        <v>384</v>
      </c>
      <c r="G2" s="133" t="s">
        <v>456</v>
      </c>
      <c r="H2" s="134" t="s">
        <v>386</v>
      </c>
      <c r="I2" s="135" t="s">
        <v>381</v>
      </c>
      <c r="J2" s="136" t="s">
        <v>384</v>
      </c>
      <c r="K2" s="137" t="s">
        <v>456</v>
      </c>
      <c r="L2" s="138" t="s">
        <v>386</v>
      </c>
      <c r="M2" s="139"/>
      <c r="N2" s="358"/>
      <c r="O2" s="358"/>
      <c r="P2" s="358"/>
      <c r="Q2" s="358"/>
      <c r="R2" s="358"/>
      <c r="S2" s="358"/>
      <c r="T2" s="358"/>
      <c r="U2" s="358"/>
      <c r="V2" s="358"/>
      <c r="W2" s="358"/>
      <c r="X2" s="358"/>
      <c r="Y2" s="358"/>
      <c r="Z2" s="358"/>
      <c r="AA2" s="358"/>
      <c r="AB2" s="358"/>
    </row>
    <row r="3" spans="1:28" ht="27.75" customHeight="1" x14ac:dyDescent="0.3">
      <c r="A3" s="666" t="s">
        <v>597</v>
      </c>
      <c r="B3" s="359" t="s">
        <v>598</v>
      </c>
      <c r="C3" s="360">
        <v>560</v>
      </c>
      <c r="D3" s="361">
        <v>0</v>
      </c>
      <c r="E3" s="362">
        <v>0</v>
      </c>
      <c r="F3" s="362">
        <f>E3*D3</f>
        <v>0</v>
      </c>
      <c r="G3" s="362">
        <v>0</v>
      </c>
      <c r="H3" s="363">
        <f t="shared" ref="H3:H10" si="0">F3+G3-C3</f>
        <v>-560</v>
      </c>
      <c r="I3" s="360">
        <f>SUMIFS('Cashbook ING'!$B:$B, 'Cashbook ING'!$A:$A, "PT_Transition_Venue")</f>
        <v>-1000.25</v>
      </c>
      <c r="J3" s="362">
        <v>0</v>
      </c>
      <c r="K3" s="362">
        <v>0</v>
      </c>
      <c r="L3" s="145">
        <f t="shared" ref="L3:L6" si="1">J3+K3+I3</f>
        <v>-1000.25</v>
      </c>
      <c r="M3" s="231">
        <f t="shared" ref="M3:M10" si="2">L3-H3</f>
        <v>-440.25</v>
      </c>
      <c r="N3" s="358"/>
      <c r="O3" s="358"/>
      <c r="P3" s="358"/>
      <c r="Q3" s="358"/>
      <c r="R3" s="358"/>
      <c r="S3" s="358"/>
      <c r="T3" s="358"/>
      <c r="U3" s="358"/>
      <c r="V3" s="358"/>
      <c r="W3" s="358"/>
      <c r="X3" s="358"/>
      <c r="Y3" s="358"/>
      <c r="Z3" s="358"/>
      <c r="AA3" s="358"/>
      <c r="AB3" s="358"/>
    </row>
    <row r="4" spans="1:28" ht="27.75" customHeight="1" x14ac:dyDescent="0.3">
      <c r="A4" s="667"/>
      <c r="B4" s="365" t="s">
        <v>599</v>
      </c>
      <c r="C4" s="195">
        <v>540</v>
      </c>
      <c r="D4" s="143">
        <v>0</v>
      </c>
      <c r="E4" s="194">
        <v>0</v>
      </c>
      <c r="F4" s="194">
        <v>100</v>
      </c>
      <c r="G4" s="194">
        <v>0</v>
      </c>
      <c r="H4" s="228">
        <f t="shared" si="0"/>
        <v>-440</v>
      </c>
      <c r="I4" s="195">
        <v>0</v>
      </c>
      <c r="J4" s="194">
        <v>0</v>
      </c>
      <c r="K4" s="194">
        <v>0</v>
      </c>
      <c r="L4" s="145">
        <f t="shared" si="1"/>
        <v>0</v>
      </c>
      <c r="M4" s="231">
        <f t="shared" si="2"/>
        <v>440</v>
      </c>
      <c r="N4" s="358"/>
      <c r="O4" s="358"/>
      <c r="P4" s="358"/>
      <c r="Q4" s="358"/>
      <c r="R4" s="358"/>
      <c r="S4" s="358"/>
      <c r="T4" s="358"/>
      <c r="U4" s="358"/>
      <c r="V4" s="358"/>
      <c r="W4" s="358"/>
      <c r="X4" s="358"/>
      <c r="Y4" s="358"/>
      <c r="Z4" s="358"/>
      <c r="AA4" s="358"/>
      <c r="AB4" s="358"/>
    </row>
    <row r="5" spans="1:28" ht="27.75" customHeight="1" x14ac:dyDescent="0.3">
      <c r="A5" s="667"/>
      <c r="B5" s="365" t="s">
        <v>522</v>
      </c>
      <c r="C5" s="195">
        <v>250</v>
      </c>
      <c r="D5" s="143">
        <v>0</v>
      </c>
      <c r="E5" s="194">
        <v>0</v>
      </c>
      <c r="F5" s="194">
        <v>0</v>
      </c>
      <c r="G5" s="194">
        <v>0</v>
      </c>
      <c r="H5" s="228">
        <f t="shared" si="0"/>
        <v>-250</v>
      </c>
      <c r="I5" s="195">
        <f>SUMIFS('Cashbook ING'!$B:$B, 'Cashbook ING'!$A:$A, "PT_Transition_DJ")</f>
        <v>-325</v>
      </c>
      <c r="J5" s="194">
        <v>0</v>
      </c>
      <c r="K5" s="194">
        <v>0</v>
      </c>
      <c r="L5" s="145">
        <f t="shared" si="1"/>
        <v>-325</v>
      </c>
      <c r="M5" s="231">
        <f t="shared" si="2"/>
        <v>-75</v>
      </c>
      <c r="N5" s="358"/>
      <c r="O5" s="358"/>
      <c r="P5" s="358"/>
      <c r="Q5" s="358"/>
      <c r="R5" s="358"/>
      <c r="S5" s="358"/>
      <c r="T5" s="358"/>
      <c r="U5" s="358"/>
      <c r="V5" s="358"/>
      <c r="W5" s="358"/>
      <c r="X5" s="358"/>
      <c r="Y5" s="358"/>
      <c r="Z5" s="358"/>
      <c r="AA5" s="358"/>
      <c r="AB5" s="358"/>
    </row>
    <row r="6" spans="1:28" ht="27.75" customHeight="1" x14ac:dyDescent="0.3">
      <c r="A6" s="667"/>
      <c r="B6" s="365" t="s">
        <v>600</v>
      </c>
      <c r="C6" s="195">
        <v>150</v>
      </c>
      <c r="D6" s="143">
        <v>0</v>
      </c>
      <c r="E6" s="194">
        <v>0</v>
      </c>
      <c r="F6" s="194">
        <v>0</v>
      </c>
      <c r="G6" s="194">
        <v>0</v>
      </c>
      <c r="H6" s="228">
        <f t="shared" si="0"/>
        <v>-150</v>
      </c>
      <c r="I6" s="195">
        <v>-150</v>
      </c>
      <c r="J6" s="194">
        <v>0</v>
      </c>
      <c r="K6" s="194">
        <v>0</v>
      </c>
      <c r="L6" s="145">
        <f t="shared" si="1"/>
        <v>-150</v>
      </c>
      <c r="M6" s="231">
        <f t="shared" si="2"/>
        <v>0</v>
      </c>
      <c r="N6" s="358"/>
      <c r="O6" s="358"/>
      <c r="P6" s="358"/>
      <c r="Q6" s="358"/>
      <c r="R6" s="358"/>
      <c r="S6" s="358"/>
      <c r="T6" s="358"/>
      <c r="U6" s="358"/>
      <c r="V6" s="358"/>
      <c r="W6" s="358"/>
      <c r="X6" s="358"/>
      <c r="Y6" s="358"/>
      <c r="Z6" s="358"/>
      <c r="AA6" s="358"/>
      <c r="AB6" s="358"/>
    </row>
    <row r="7" spans="1:28" ht="27.75" customHeight="1" x14ac:dyDescent="0.3">
      <c r="A7" s="667"/>
      <c r="B7" s="365" t="s">
        <v>521</v>
      </c>
      <c r="C7" s="195">
        <v>80</v>
      </c>
      <c r="D7" s="143">
        <v>0</v>
      </c>
      <c r="E7" s="194">
        <v>0</v>
      </c>
      <c r="F7" s="194">
        <v>0</v>
      </c>
      <c r="G7" s="194">
        <v>0</v>
      </c>
      <c r="H7" s="228">
        <f t="shared" si="0"/>
        <v>-80</v>
      </c>
      <c r="I7" s="195">
        <f>SUMIFS('Cashbook ING'!$B:$B, 'Cashbook ING'!$A:$A, "PT_TransitionDecorations")</f>
        <v>-65.52</v>
      </c>
      <c r="J7" s="194">
        <v>0</v>
      </c>
      <c r="K7" s="194">
        <v>0</v>
      </c>
      <c r="L7" s="145">
        <f>J7+K7+I7</f>
        <v>-65.52</v>
      </c>
      <c r="M7" s="231">
        <f t="shared" si="2"/>
        <v>14.480000000000004</v>
      </c>
      <c r="N7" s="358"/>
      <c r="O7" s="358"/>
      <c r="P7" s="358"/>
      <c r="Q7" s="358"/>
      <c r="R7" s="358"/>
      <c r="S7" s="358"/>
      <c r="T7" s="358"/>
      <c r="U7" s="358"/>
      <c r="V7" s="358"/>
      <c r="W7" s="358"/>
      <c r="X7" s="358"/>
      <c r="Y7" s="358"/>
      <c r="Z7" s="358"/>
      <c r="AA7" s="358"/>
      <c r="AB7" s="358"/>
    </row>
    <row r="8" spans="1:28" ht="27.75" customHeight="1" x14ac:dyDescent="0.3">
      <c r="A8" s="667"/>
      <c r="B8" s="365" t="s">
        <v>524</v>
      </c>
      <c r="C8" s="258">
        <v>100</v>
      </c>
      <c r="D8" s="143">
        <v>0</v>
      </c>
      <c r="E8" s="194">
        <v>0</v>
      </c>
      <c r="F8" s="194">
        <f t="shared" ref="F8:F10" si="3">E8*D8</f>
        <v>0</v>
      </c>
      <c r="G8" s="194">
        <v>0</v>
      </c>
      <c r="H8" s="228">
        <f t="shared" si="0"/>
        <v>-100</v>
      </c>
      <c r="I8" s="195">
        <f>SUMIFS('Cashbook ING'!$B:$B, 'Cashbook ING'!$A:$A, "PT_")</f>
        <v>0</v>
      </c>
      <c r="J8" s="194">
        <v>0</v>
      </c>
      <c r="K8" s="194">
        <v>0</v>
      </c>
      <c r="L8" s="145">
        <f t="shared" ref="L8:L10" si="4">J8+K8+I8</f>
        <v>0</v>
      </c>
      <c r="M8" s="231">
        <f t="shared" si="2"/>
        <v>100</v>
      </c>
      <c r="N8" s="358"/>
      <c r="O8" s="358"/>
      <c r="P8" s="358"/>
      <c r="Q8" s="358"/>
      <c r="R8" s="358"/>
      <c r="S8" s="358"/>
      <c r="T8" s="358"/>
      <c r="U8" s="358"/>
      <c r="V8" s="358"/>
      <c r="W8" s="358"/>
      <c r="X8" s="358"/>
      <c r="Y8" s="358"/>
      <c r="Z8" s="358"/>
      <c r="AA8" s="358"/>
      <c r="AB8" s="358"/>
    </row>
    <row r="9" spans="1:28" ht="27.75" customHeight="1" x14ac:dyDescent="0.3">
      <c r="A9" s="667"/>
      <c r="B9" s="365" t="s">
        <v>509</v>
      </c>
      <c r="C9" s="195">
        <v>0</v>
      </c>
      <c r="D9" s="143">
        <v>230</v>
      </c>
      <c r="E9" s="194">
        <v>7</v>
      </c>
      <c r="F9" s="194">
        <f t="shared" si="3"/>
        <v>1610</v>
      </c>
      <c r="G9" s="194">
        <v>0</v>
      </c>
      <c r="H9" s="228">
        <f t="shared" si="0"/>
        <v>1610</v>
      </c>
      <c r="I9" s="195">
        <f>SUMIFS('Cashbook ING'!$B:$B, 'Cashbook ING'!$A:$A, "PT_")</f>
        <v>0</v>
      </c>
      <c r="J9" s="194">
        <f>SUMIFS('Cashbook Wix'!$B$2:$B$7106,'Cashbook Wix'!$A$2:$A$7106,"PT_TransitionParty_Member")+'Cashbook ING'!B23</f>
        <v>1041.9500000000014</v>
      </c>
      <c r="K9" s="194">
        <v>0</v>
      </c>
      <c r="L9" s="145">
        <f t="shared" si="4"/>
        <v>1041.9500000000014</v>
      </c>
      <c r="M9" s="231">
        <f t="shared" si="2"/>
        <v>-568.04999999999859</v>
      </c>
      <c r="N9" s="358"/>
      <c r="O9" s="358"/>
      <c r="P9" s="358"/>
      <c r="Q9" s="358"/>
      <c r="R9" s="358"/>
      <c r="S9" s="358"/>
      <c r="T9" s="358"/>
      <c r="U9" s="358"/>
      <c r="V9" s="358"/>
      <c r="W9" s="358"/>
      <c r="X9" s="358"/>
      <c r="Y9" s="358"/>
      <c r="Z9" s="358"/>
      <c r="AA9" s="358"/>
      <c r="AB9" s="358"/>
    </row>
    <row r="10" spans="1:28" ht="27.75" customHeight="1" x14ac:dyDescent="0.3">
      <c r="A10" s="667"/>
      <c r="B10" s="365" t="s">
        <v>510</v>
      </c>
      <c r="C10" s="195">
        <v>0</v>
      </c>
      <c r="D10" s="143">
        <v>20</v>
      </c>
      <c r="E10" s="194">
        <v>9</v>
      </c>
      <c r="F10" s="194">
        <f t="shared" si="3"/>
        <v>180</v>
      </c>
      <c r="G10" s="194">
        <v>0</v>
      </c>
      <c r="H10" s="228">
        <f t="shared" si="0"/>
        <v>180</v>
      </c>
      <c r="I10" s="195">
        <v>0</v>
      </c>
      <c r="J10" s="194">
        <f>SUMIFS('Cashbook Wix'!$B$2:$B$7106,'Cashbook Wix'!$A$2:$A$7106,"PT_TransitionParty_NonMember")</f>
        <v>374.9699999999998</v>
      </c>
      <c r="K10" s="194">
        <v>0</v>
      </c>
      <c r="L10" s="145">
        <f t="shared" si="4"/>
        <v>374.9699999999998</v>
      </c>
      <c r="M10" s="231">
        <f t="shared" si="2"/>
        <v>194.9699999999998</v>
      </c>
      <c r="N10" s="280"/>
      <c r="O10" s="358"/>
      <c r="P10" s="358"/>
      <c r="Q10" s="358"/>
      <c r="R10" s="358"/>
      <c r="S10" s="358"/>
      <c r="T10" s="358"/>
      <c r="U10" s="358"/>
      <c r="V10" s="358"/>
      <c r="W10" s="358"/>
      <c r="X10" s="358"/>
      <c r="Y10" s="358"/>
      <c r="Z10" s="358"/>
      <c r="AA10" s="358"/>
      <c r="AB10" s="358"/>
    </row>
    <row r="11" spans="1:28" ht="27.75" customHeight="1" x14ac:dyDescent="0.3">
      <c r="A11" s="668"/>
      <c r="B11" s="366" t="s">
        <v>511</v>
      </c>
      <c r="C11" s="256">
        <f t="shared" ref="C11:D11" si="5">SUM(C3:C10)</f>
        <v>1680</v>
      </c>
      <c r="D11" s="234">
        <f t="shared" si="5"/>
        <v>250</v>
      </c>
      <c r="E11" s="235">
        <v>0</v>
      </c>
      <c r="F11" s="233">
        <f t="shared" ref="F11:M11" si="6">SUM(F3:F10)</f>
        <v>1890</v>
      </c>
      <c r="G11" s="235">
        <f t="shared" si="6"/>
        <v>0</v>
      </c>
      <c r="H11" s="236">
        <f t="shared" si="6"/>
        <v>210</v>
      </c>
      <c r="I11" s="256">
        <f t="shared" si="6"/>
        <v>-1540.77</v>
      </c>
      <c r="J11" s="233">
        <f t="shared" si="6"/>
        <v>1416.9200000000012</v>
      </c>
      <c r="K11" s="233">
        <f t="shared" si="6"/>
        <v>0</v>
      </c>
      <c r="L11" s="236">
        <f t="shared" si="6"/>
        <v>-123.84999999999877</v>
      </c>
      <c r="M11" s="236">
        <f t="shared" si="6"/>
        <v>-333.84999999999877</v>
      </c>
      <c r="N11" s="358"/>
      <c r="O11" s="358"/>
      <c r="P11" s="358"/>
      <c r="Q11" s="358"/>
      <c r="R11" s="358"/>
      <c r="S11" s="358"/>
      <c r="T11" s="358"/>
      <c r="U11" s="358"/>
      <c r="V11" s="358"/>
      <c r="W11" s="358"/>
      <c r="X11" s="358"/>
      <c r="Y11" s="358"/>
      <c r="Z11" s="358"/>
      <c r="AA11" s="358"/>
      <c r="AB11" s="358"/>
    </row>
    <row r="12" spans="1:28" ht="27.75" customHeight="1" x14ac:dyDescent="0.3">
      <c r="A12" s="669" t="s">
        <v>601</v>
      </c>
      <c r="B12" s="238" t="s">
        <v>516</v>
      </c>
      <c r="C12" s="239">
        <v>0</v>
      </c>
      <c r="D12" s="247">
        <v>0</v>
      </c>
      <c r="E12" s="241">
        <v>0</v>
      </c>
      <c r="F12" s="241">
        <v>0</v>
      </c>
      <c r="G12" s="241">
        <v>0</v>
      </c>
      <c r="H12" s="243">
        <f>F12+G12-C12</f>
        <v>0</v>
      </c>
      <c r="I12" s="241">
        <f>SUMIFS('Cashbook ING'!$B:$B, 'Cashbook ING'!$A:$A, "PT_")</f>
        <v>0</v>
      </c>
      <c r="J12" s="241">
        <v>0</v>
      </c>
      <c r="K12" s="241">
        <v>0</v>
      </c>
      <c r="L12" s="243">
        <f t="shared" ref="L12:L17" si="7">J12+K12+I12</f>
        <v>0</v>
      </c>
      <c r="M12" s="244">
        <f t="shared" ref="M12:M17" si="8">L12-H12</f>
        <v>0</v>
      </c>
      <c r="N12" s="358"/>
      <c r="O12" s="358"/>
      <c r="P12" s="358"/>
      <c r="Q12" s="358"/>
      <c r="R12" s="358"/>
      <c r="S12" s="358"/>
      <c r="T12" s="358"/>
      <c r="U12" s="358"/>
      <c r="V12" s="358"/>
      <c r="W12" s="358"/>
      <c r="X12" s="358"/>
      <c r="Y12" s="358"/>
      <c r="Z12" s="358"/>
      <c r="AA12" s="358"/>
      <c r="AB12" s="358"/>
    </row>
    <row r="13" spans="1:28" ht="27.75" customHeight="1" x14ac:dyDescent="0.3">
      <c r="A13" s="620"/>
      <c r="B13" s="245" t="s">
        <v>517</v>
      </c>
      <c r="C13" s="193">
        <v>420</v>
      </c>
      <c r="D13" s="143">
        <v>0</v>
      </c>
      <c r="E13" s="194">
        <v>0</v>
      </c>
      <c r="F13" s="194">
        <v>0</v>
      </c>
      <c r="G13" s="194">
        <v>0</v>
      </c>
      <c r="H13" s="145">
        <f t="shared" ref="H13:H16" si="9">F13 + G13 - C13</f>
        <v>-420</v>
      </c>
      <c r="I13" s="194">
        <f>SUMIFS('Cashbook ING'!$B:$B, 'Cashbook ING'!$A:$A, "PT_WorldBorrel_Drinks")</f>
        <v>-444</v>
      </c>
      <c r="J13" s="579">
        <f>SUMIFS('Cashbook ING'!$B:$B, 'Cashbook ING'!$A:$A, "PT_WorldBorrel_IncomeDrinks")</f>
        <v>112</v>
      </c>
      <c r="K13" s="194">
        <v>0</v>
      </c>
      <c r="L13" s="145">
        <f t="shared" si="7"/>
        <v>-332</v>
      </c>
      <c r="M13" s="231">
        <f t="shared" si="8"/>
        <v>88</v>
      </c>
      <c r="N13" s="358"/>
      <c r="O13" s="358"/>
      <c r="P13" s="358"/>
      <c r="Q13" s="358"/>
      <c r="R13" s="358"/>
      <c r="S13" s="358"/>
      <c r="T13" s="358"/>
      <c r="U13" s="358"/>
      <c r="V13" s="358"/>
      <c r="W13" s="358"/>
      <c r="X13" s="358"/>
      <c r="Y13" s="358"/>
      <c r="Z13" s="358"/>
      <c r="AA13" s="358"/>
      <c r="AB13" s="358"/>
    </row>
    <row r="14" spans="1:28" ht="27.75" customHeight="1" x14ac:dyDescent="0.3">
      <c r="A14" s="620"/>
      <c r="B14" s="145" t="s">
        <v>521</v>
      </c>
      <c r="C14" s="194">
        <v>30</v>
      </c>
      <c r="D14" s="143">
        <v>0</v>
      </c>
      <c r="E14" s="194">
        <v>0</v>
      </c>
      <c r="F14" s="194">
        <v>0</v>
      </c>
      <c r="G14" s="194">
        <v>0</v>
      </c>
      <c r="H14" s="145">
        <f t="shared" si="9"/>
        <v>-30</v>
      </c>
      <c r="I14" s="178">
        <f>SUMIFS('Cashbook ING'!$B:$B, 'Cashbook ING'!$A:$A, "PT_WorldBorrel_Decorations")</f>
        <v>-26.69</v>
      </c>
      <c r="J14" s="194">
        <v>0</v>
      </c>
      <c r="K14" s="194">
        <v>0</v>
      </c>
      <c r="L14" s="145">
        <f t="shared" si="7"/>
        <v>-26.69</v>
      </c>
      <c r="M14" s="231">
        <f t="shared" si="8"/>
        <v>3.3099999999999987</v>
      </c>
      <c r="N14" s="358"/>
      <c r="O14" s="358"/>
      <c r="P14" s="358"/>
      <c r="Q14" s="358"/>
      <c r="R14" s="358"/>
      <c r="S14" s="358"/>
      <c r="T14" s="358"/>
      <c r="U14" s="358"/>
      <c r="V14" s="358"/>
      <c r="W14" s="358"/>
      <c r="X14" s="358"/>
      <c r="Y14" s="358"/>
      <c r="Z14" s="358"/>
      <c r="AA14" s="358"/>
      <c r="AB14" s="358"/>
    </row>
    <row r="15" spans="1:28" ht="27.75" customHeight="1" x14ac:dyDescent="0.3">
      <c r="A15" s="620"/>
      <c r="B15" s="145" t="s">
        <v>602</v>
      </c>
      <c r="C15" s="194">
        <v>50</v>
      </c>
      <c r="D15" s="143">
        <v>0</v>
      </c>
      <c r="E15" s="194">
        <v>0</v>
      </c>
      <c r="F15" s="194">
        <v>0</v>
      </c>
      <c r="G15" s="194">
        <v>0</v>
      </c>
      <c r="H15" s="145">
        <f t="shared" si="9"/>
        <v>-50</v>
      </c>
      <c r="I15" s="193">
        <f>SUMIFS('Cashbook ING'!$B:$B, 'Cashbook ING'!$A:$A, "PT_")</f>
        <v>0</v>
      </c>
      <c r="J15" s="194">
        <v>0</v>
      </c>
      <c r="K15" s="194">
        <v>0</v>
      </c>
      <c r="L15" s="145">
        <f t="shared" si="7"/>
        <v>0</v>
      </c>
      <c r="M15" s="231">
        <f t="shared" si="8"/>
        <v>50</v>
      </c>
      <c r="N15" s="358"/>
      <c r="O15" s="358"/>
      <c r="P15" s="358"/>
      <c r="Q15" s="358"/>
      <c r="R15" s="358"/>
      <c r="S15" s="358"/>
      <c r="T15" s="358"/>
      <c r="U15" s="358"/>
      <c r="V15" s="358"/>
      <c r="W15" s="358"/>
      <c r="X15" s="358"/>
      <c r="Y15" s="358"/>
      <c r="Z15" s="358"/>
      <c r="AA15" s="358"/>
      <c r="AB15" s="358"/>
    </row>
    <row r="16" spans="1:28" ht="27.75" customHeight="1" x14ac:dyDescent="0.3">
      <c r="A16" s="620"/>
      <c r="B16" s="145" t="s">
        <v>509</v>
      </c>
      <c r="C16" s="194">
        <v>0</v>
      </c>
      <c r="D16" s="143">
        <v>90</v>
      </c>
      <c r="E16" s="194">
        <v>3</v>
      </c>
      <c r="F16" s="194">
        <f t="shared" ref="F16:F17" si="10">D16*E16</f>
        <v>270</v>
      </c>
      <c r="G16" s="194">
        <v>0</v>
      </c>
      <c r="H16" s="145">
        <f t="shared" si="9"/>
        <v>270</v>
      </c>
      <c r="I16" s="194">
        <v>0</v>
      </c>
      <c r="J16" s="194">
        <f>SUMIFS('Cashbook Wix'!$B$2:$B$7106,'Cashbook Wix'!$A$2:$A$7106,"PT_WorldBorrel_Member")</f>
        <v>243.60999999999999</v>
      </c>
      <c r="K16" s="194">
        <v>0</v>
      </c>
      <c r="L16" s="145">
        <f t="shared" si="7"/>
        <v>243.60999999999999</v>
      </c>
      <c r="M16" s="231">
        <f t="shared" si="8"/>
        <v>-26.390000000000015</v>
      </c>
      <c r="N16" s="367"/>
      <c r="O16" s="358"/>
      <c r="P16" s="358"/>
      <c r="Q16" s="358"/>
      <c r="R16" s="358"/>
      <c r="S16" s="358"/>
      <c r="T16" s="358"/>
      <c r="U16" s="358"/>
      <c r="V16" s="358"/>
      <c r="W16" s="358"/>
      <c r="X16" s="358"/>
      <c r="Y16" s="358"/>
      <c r="Z16" s="358"/>
      <c r="AA16" s="358"/>
      <c r="AB16" s="358"/>
    </row>
    <row r="17" spans="1:28" ht="27.75" customHeight="1" x14ac:dyDescent="0.3">
      <c r="A17" s="620"/>
      <c r="B17" s="145" t="s">
        <v>510</v>
      </c>
      <c r="C17" s="194">
        <v>0</v>
      </c>
      <c r="D17" s="143">
        <v>15</v>
      </c>
      <c r="E17" s="194">
        <v>5</v>
      </c>
      <c r="F17" s="194">
        <f t="shared" si="10"/>
        <v>75</v>
      </c>
      <c r="G17" s="194">
        <v>0</v>
      </c>
      <c r="H17" s="228">
        <f>F17+G17-C17</f>
        <v>75</v>
      </c>
      <c r="I17" s="194">
        <v>0</v>
      </c>
      <c r="J17" s="194">
        <f>SUMIFS('Cashbook Wix'!$B$2:$B$7106,'Cashbook Wix'!$A$2:$A$7106,"PT_WorldBorrel_NonMember")</f>
        <v>115.25000000000001</v>
      </c>
      <c r="K17" s="194">
        <v>0</v>
      </c>
      <c r="L17" s="145">
        <f t="shared" si="7"/>
        <v>115.25000000000001</v>
      </c>
      <c r="M17" s="231">
        <f t="shared" si="8"/>
        <v>40.250000000000014</v>
      </c>
      <c r="N17" s="358"/>
      <c r="O17" s="358"/>
      <c r="P17" s="358"/>
      <c r="Q17" s="358"/>
      <c r="R17" s="358"/>
      <c r="S17" s="358"/>
      <c r="T17" s="358"/>
      <c r="U17" s="358"/>
      <c r="V17" s="358"/>
      <c r="W17" s="358"/>
      <c r="X17" s="358"/>
      <c r="Y17" s="358"/>
      <c r="Z17" s="358"/>
      <c r="AA17" s="358"/>
      <c r="AB17" s="358"/>
    </row>
    <row r="18" spans="1:28" ht="27.75" customHeight="1" x14ac:dyDescent="0.3">
      <c r="A18" s="621"/>
      <c r="B18" s="232" t="s">
        <v>511</v>
      </c>
      <c r="C18" s="235">
        <f t="shared" ref="C18:D18" si="11">SUM(C12:C17)</f>
        <v>500</v>
      </c>
      <c r="D18" s="234">
        <f t="shared" si="11"/>
        <v>105</v>
      </c>
      <c r="E18" s="235">
        <v>0</v>
      </c>
      <c r="F18" s="235">
        <f>SUM(F12:F17)</f>
        <v>345</v>
      </c>
      <c r="G18" s="235">
        <v>0</v>
      </c>
      <c r="H18" s="232">
        <f t="shared" ref="H18:M18" si="12">SUM(H12:H17)</f>
        <v>-155</v>
      </c>
      <c r="I18" s="235">
        <f t="shared" si="12"/>
        <v>-470.69</v>
      </c>
      <c r="J18" s="235">
        <f t="shared" si="12"/>
        <v>470.86</v>
      </c>
      <c r="K18" s="235">
        <f t="shared" si="12"/>
        <v>0</v>
      </c>
      <c r="L18" s="232">
        <f t="shared" si="12"/>
        <v>0.17000000000000171</v>
      </c>
      <c r="M18" s="237">
        <f t="shared" si="12"/>
        <v>155.17000000000002</v>
      </c>
      <c r="N18" s="358"/>
      <c r="O18" s="358"/>
      <c r="P18" s="358"/>
      <c r="Q18" s="358"/>
      <c r="R18" s="358"/>
      <c r="S18" s="358"/>
      <c r="T18" s="358"/>
      <c r="U18" s="358"/>
      <c r="V18" s="358"/>
      <c r="W18" s="358"/>
      <c r="X18" s="358"/>
      <c r="Y18" s="358"/>
      <c r="Z18" s="358"/>
      <c r="AA18" s="358"/>
      <c r="AB18" s="358"/>
    </row>
    <row r="19" spans="1:28" ht="27.75" customHeight="1" x14ac:dyDescent="0.3">
      <c r="A19" s="619" t="s">
        <v>603</v>
      </c>
      <c r="B19" s="343" t="s">
        <v>516</v>
      </c>
      <c r="C19" s="368">
        <v>1000</v>
      </c>
      <c r="D19" s="227">
        <v>0</v>
      </c>
      <c r="E19" s="226">
        <v>0</v>
      </c>
      <c r="F19" s="226">
        <f t="shared" ref="F19:F20" si="13">E19*D19</f>
        <v>0</v>
      </c>
      <c r="G19" s="226">
        <v>0</v>
      </c>
      <c r="H19" s="369">
        <f t="shared" ref="H19:H25" si="14">F19+G19-C19</f>
        <v>-1000</v>
      </c>
      <c r="I19" s="226">
        <f>SUMIFS('Cashbook ING'!$B:$B, 'Cashbook ING'!$A:$A, "PT_")</f>
        <v>0</v>
      </c>
      <c r="J19" s="226">
        <v>0</v>
      </c>
      <c r="K19" s="370">
        <v>0</v>
      </c>
      <c r="L19" s="343">
        <f t="shared" ref="L19:L23" si="15">J19+K19+I19</f>
        <v>0</v>
      </c>
      <c r="M19" s="244">
        <f t="shared" ref="M19:M25" si="16">L19-H19</f>
        <v>1000</v>
      </c>
      <c r="N19" s="358"/>
      <c r="O19" s="358"/>
      <c r="P19" s="358"/>
      <c r="Q19" s="358"/>
      <c r="R19" s="358"/>
      <c r="S19" s="358"/>
      <c r="T19" s="358"/>
      <c r="U19" s="358"/>
      <c r="V19" s="358"/>
      <c r="W19" s="358"/>
      <c r="X19" s="358"/>
      <c r="Y19" s="358"/>
      <c r="Z19" s="358"/>
      <c r="AA19" s="358"/>
      <c r="AB19" s="358"/>
    </row>
    <row r="20" spans="1:28" ht="27.75" customHeight="1" x14ac:dyDescent="0.3">
      <c r="A20" s="620"/>
      <c r="B20" s="145" t="s">
        <v>556</v>
      </c>
      <c r="C20" s="371">
        <v>100</v>
      </c>
      <c r="D20" s="143">
        <v>0</v>
      </c>
      <c r="E20" s="194">
        <v>0</v>
      </c>
      <c r="F20" s="194">
        <f t="shared" si="13"/>
        <v>0</v>
      </c>
      <c r="G20" s="194">
        <v>0</v>
      </c>
      <c r="H20" s="372">
        <f t="shared" si="14"/>
        <v>-100</v>
      </c>
      <c r="I20" s="194">
        <f>SUMIFS('Cashbook ING'!$B:$B, 'Cashbook ING'!$A:$A, "PT_")</f>
        <v>0</v>
      </c>
      <c r="J20" s="373">
        <v>0</v>
      </c>
      <c r="K20" s="373">
        <v>0</v>
      </c>
      <c r="L20" s="374">
        <f t="shared" si="15"/>
        <v>0</v>
      </c>
      <c r="M20" s="231">
        <f t="shared" si="16"/>
        <v>100</v>
      </c>
      <c r="N20" s="358"/>
      <c r="O20" s="358"/>
      <c r="P20" s="358"/>
      <c r="Q20" s="358"/>
      <c r="R20" s="358"/>
      <c r="S20" s="358"/>
      <c r="T20" s="358"/>
      <c r="U20" s="358"/>
      <c r="V20" s="358"/>
      <c r="W20" s="358"/>
      <c r="X20" s="358"/>
      <c r="Y20" s="358"/>
      <c r="Z20" s="358"/>
      <c r="AA20" s="358"/>
      <c r="AB20" s="358"/>
    </row>
    <row r="21" spans="1:28" ht="27.75" customHeight="1" x14ac:dyDescent="0.3">
      <c r="A21" s="620"/>
      <c r="B21" s="145" t="s">
        <v>522</v>
      </c>
      <c r="C21" s="371">
        <v>250</v>
      </c>
      <c r="D21" s="143">
        <v>0</v>
      </c>
      <c r="E21" s="194">
        <v>0</v>
      </c>
      <c r="F21" s="194">
        <v>0</v>
      </c>
      <c r="G21" s="194">
        <v>0</v>
      </c>
      <c r="H21" s="372">
        <f t="shared" si="14"/>
        <v>-250</v>
      </c>
      <c r="I21" s="194">
        <f>SUMIFS('Cashbook ING'!$B:$B, 'Cashbook ING'!$A:$A, "PT_")</f>
        <v>0</v>
      </c>
      <c r="J21" s="373">
        <v>0</v>
      </c>
      <c r="K21" s="373">
        <v>0</v>
      </c>
      <c r="L21" s="374">
        <f t="shared" si="15"/>
        <v>0</v>
      </c>
      <c r="M21" s="231">
        <f t="shared" si="16"/>
        <v>250</v>
      </c>
      <c r="N21" s="358"/>
      <c r="O21" s="358"/>
      <c r="P21" s="358"/>
      <c r="Q21" s="358"/>
      <c r="R21" s="358"/>
      <c r="S21" s="358"/>
      <c r="T21" s="358"/>
      <c r="U21" s="358"/>
      <c r="V21" s="358"/>
      <c r="W21" s="358"/>
      <c r="X21" s="358"/>
      <c r="Y21" s="358"/>
      <c r="Z21" s="358"/>
      <c r="AA21" s="358"/>
      <c r="AB21" s="358"/>
    </row>
    <row r="22" spans="1:28" ht="27.75" customHeight="1" x14ac:dyDescent="0.3">
      <c r="A22" s="620"/>
      <c r="B22" s="145" t="s">
        <v>602</v>
      </c>
      <c r="C22" s="371">
        <v>150</v>
      </c>
      <c r="D22" s="143">
        <v>0</v>
      </c>
      <c r="E22" s="194">
        <v>0</v>
      </c>
      <c r="F22" s="194">
        <v>0</v>
      </c>
      <c r="G22" s="194">
        <v>0</v>
      </c>
      <c r="H22" s="372">
        <f t="shared" si="14"/>
        <v>-150</v>
      </c>
      <c r="I22" s="194">
        <f>SUMIFS('Cashbook ING'!$B:$B, 'Cashbook ING'!$A:$A, "PT_")</f>
        <v>0</v>
      </c>
      <c r="J22" s="373">
        <v>0</v>
      </c>
      <c r="K22" s="373">
        <v>0</v>
      </c>
      <c r="L22" s="374">
        <f t="shared" si="15"/>
        <v>0</v>
      </c>
      <c r="M22" s="231">
        <f t="shared" si="16"/>
        <v>150</v>
      </c>
      <c r="N22" s="358"/>
      <c r="O22" s="358"/>
      <c r="P22" s="358"/>
      <c r="Q22" s="358"/>
      <c r="R22" s="358"/>
      <c r="S22" s="358"/>
      <c r="T22" s="358"/>
      <c r="U22" s="358"/>
      <c r="V22" s="358"/>
      <c r="W22" s="358"/>
      <c r="X22" s="358"/>
      <c r="Y22" s="358"/>
      <c r="Z22" s="358"/>
      <c r="AA22" s="358"/>
      <c r="AB22" s="358"/>
    </row>
    <row r="23" spans="1:28" ht="27.75" customHeight="1" x14ac:dyDescent="0.3">
      <c r="A23" s="620"/>
      <c r="B23" s="145" t="s">
        <v>523</v>
      </c>
      <c r="C23" s="371">
        <v>0</v>
      </c>
      <c r="D23" s="143">
        <v>0</v>
      </c>
      <c r="E23" s="194">
        <v>0</v>
      </c>
      <c r="F23" s="194">
        <v>0</v>
      </c>
      <c r="G23" s="194">
        <v>0</v>
      </c>
      <c r="H23" s="372">
        <f t="shared" si="14"/>
        <v>0</v>
      </c>
      <c r="I23" s="194">
        <f>SUMIFS('Cashbook ING'!$B:$B, 'Cashbook ING'!$A:$A, "PT_")</f>
        <v>0</v>
      </c>
      <c r="J23" s="373">
        <v>0</v>
      </c>
      <c r="K23" s="373">
        <v>0</v>
      </c>
      <c r="L23" s="374">
        <f t="shared" si="15"/>
        <v>0</v>
      </c>
      <c r="M23" s="231">
        <f t="shared" si="16"/>
        <v>0</v>
      </c>
      <c r="N23" s="358"/>
      <c r="O23" s="358"/>
      <c r="P23" s="358"/>
      <c r="Q23" s="358"/>
      <c r="R23" s="358"/>
      <c r="S23" s="358"/>
      <c r="T23" s="358"/>
      <c r="U23" s="358"/>
      <c r="V23" s="358"/>
      <c r="W23" s="358"/>
      <c r="X23" s="358"/>
      <c r="Y23" s="358"/>
      <c r="Z23" s="358"/>
      <c r="AA23" s="358"/>
      <c r="AB23" s="358"/>
    </row>
    <row r="24" spans="1:28" ht="27.75" customHeight="1" x14ac:dyDescent="0.3">
      <c r="A24" s="620"/>
      <c r="B24" s="145" t="s">
        <v>509</v>
      </c>
      <c r="C24" s="373">
        <v>0</v>
      </c>
      <c r="D24" s="143">
        <v>140</v>
      </c>
      <c r="E24" s="194">
        <v>8</v>
      </c>
      <c r="F24" s="194">
        <f t="shared" ref="F24:F25" si="17">E24*D24</f>
        <v>1120</v>
      </c>
      <c r="G24" s="194">
        <v>0</v>
      </c>
      <c r="H24" s="372">
        <f t="shared" si="14"/>
        <v>1120</v>
      </c>
      <c r="I24" s="194">
        <v>0</v>
      </c>
      <c r="J24" s="194">
        <f>SUMIFS('Cashbook Wix'!$B$2:$B$7106,'Cashbook Wix'!$A$2:$A$7106,"PT_")</f>
        <v>0</v>
      </c>
      <c r="K24" s="373">
        <v>0</v>
      </c>
      <c r="L24" s="145">
        <f t="shared" ref="L24:L25" si="18">J24+K24-I24</f>
        <v>0</v>
      </c>
      <c r="M24" s="231">
        <f t="shared" si="16"/>
        <v>-1120</v>
      </c>
      <c r="N24" s="358"/>
      <c r="O24" s="358"/>
      <c r="P24" s="358"/>
      <c r="Q24" s="358"/>
      <c r="R24" s="358"/>
      <c r="S24" s="358"/>
      <c r="T24" s="358"/>
      <c r="U24" s="358"/>
      <c r="V24" s="358"/>
      <c r="W24" s="358"/>
      <c r="X24" s="358"/>
      <c r="Y24" s="358"/>
      <c r="Z24" s="358"/>
      <c r="AA24" s="358"/>
      <c r="AB24" s="358"/>
    </row>
    <row r="25" spans="1:28" ht="27.75" customHeight="1" x14ac:dyDescent="0.3">
      <c r="A25" s="620"/>
      <c r="B25" s="145" t="s">
        <v>510</v>
      </c>
      <c r="C25" s="373">
        <v>0</v>
      </c>
      <c r="D25" s="143">
        <v>20</v>
      </c>
      <c r="E25" s="194">
        <v>9.5</v>
      </c>
      <c r="F25" s="194">
        <f t="shared" si="17"/>
        <v>190</v>
      </c>
      <c r="G25" s="194">
        <v>0</v>
      </c>
      <c r="H25" s="372">
        <f t="shared" si="14"/>
        <v>190</v>
      </c>
      <c r="I25" s="194">
        <v>0</v>
      </c>
      <c r="J25" s="194">
        <f>SUMIFS('Cashbook Wix'!$B$2:$B$7106,'Cashbook Wix'!$A$2:$A$7106,"PT_")</f>
        <v>0</v>
      </c>
      <c r="K25" s="373">
        <v>0</v>
      </c>
      <c r="L25" s="145">
        <f t="shared" si="18"/>
        <v>0</v>
      </c>
      <c r="M25" s="231">
        <f t="shared" si="16"/>
        <v>-190</v>
      </c>
      <c r="N25" s="358"/>
      <c r="O25" s="358"/>
      <c r="P25" s="358"/>
      <c r="Q25" s="358"/>
      <c r="R25" s="358"/>
      <c r="S25" s="358"/>
      <c r="T25" s="358"/>
      <c r="U25" s="358"/>
      <c r="V25" s="358"/>
      <c r="W25" s="358"/>
      <c r="X25" s="358"/>
      <c r="Y25" s="358"/>
      <c r="Z25" s="358"/>
      <c r="AA25" s="358"/>
      <c r="AB25" s="358"/>
    </row>
    <row r="26" spans="1:28" ht="27.75" customHeight="1" x14ac:dyDescent="0.3">
      <c r="A26" s="621"/>
      <c r="B26" s="232" t="s">
        <v>511</v>
      </c>
      <c r="C26" s="375">
        <f>SUM(C19:C25)</f>
        <v>1500</v>
      </c>
      <c r="D26" s="234">
        <f>SUM(D20:D25)</f>
        <v>160</v>
      </c>
      <c r="E26" s="235">
        <v>0</v>
      </c>
      <c r="F26" s="375">
        <f t="shared" ref="F26:M26" si="19">SUM(F19:F25)</f>
        <v>1310</v>
      </c>
      <c r="G26" s="375">
        <f t="shared" si="19"/>
        <v>0</v>
      </c>
      <c r="H26" s="376">
        <f t="shared" si="19"/>
        <v>-190</v>
      </c>
      <c r="I26" s="375">
        <f t="shared" si="19"/>
        <v>0</v>
      </c>
      <c r="J26" s="375">
        <f t="shared" si="19"/>
        <v>0</v>
      </c>
      <c r="K26" s="375">
        <f t="shared" si="19"/>
        <v>0</v>
      </c>
      <c r="L26" s="376">
        <f t="shared" si="19"/>
        <v>0</v>
      </c>
      <c r="M26" s="237">
        <f t="shared" si="19"/>
        <v>190</v>
      </c>
      <c r="N26" s="358"/>
      <c r="O26" s="270"/>
      <c r="P26" s="358"/>
      <c r="Q26" s="358"/>
      <c r="R26" s="358"/>
      <c r="S26" s="358"/>
      <c r="T26" s="358"/>
      <c r="U26" s="358"/>
      <c r="V26" s="358"/>
      <c r="W26" s="358"/>
      <c r="X26" s="358"/>
      <c r="Y26" s="358"/>
      <c r="Z26" s="358"/>
      <c r="AA26" s="358"/>
      <c r="AB26" s="358"/>
    </row>
    <row r="27" spans="1:28" ht="27.75" customHeight="1" x14ac:dyDescent="0.3">
      <c r="A27" s="670" t="s">
        <v>604</v>
      </c>
      <c r="B27" s="343" t="s">
        <v>507</v>
      </c>
      <c r="C27" s="277">
        <v>0</v>
      </c>
      <c r="D27" s="227">
        <v>0</v>
      </c>
      <c r="E27" s="226">
        <v>0</v>
      </c>
      <c r="F27" s="226">
        <f>E27*D27</f>
        <v>0</v>
      </c>
      <c r="G27" s="226">
        <v>0</v>
      </c>
      <c r="H27" s="276">
        <f t="shared" ref="H27:H32" si="20">F27+G27-C27</f>
        <v>0</v>
      </c>
      <c r="I27" s="226">
        <f>SUMIFS('Cashbook ING'!$B:$B, 'Cashbook ING'!$A:$A, "PT_")</f>
        <v>0</v>
      </c>
      <c r="J27" s="226">
        <v>0</v>
      </c>
      <c r="K27" s="226">
        <v>0</v>
      </c>
      <c r="L27" s="343">
        <f>J27+K27+I27</f>
        <v>0</v>
      </c>
      <c r="M27" s="244">
        <f t="shared" ref="M27:M32" si="21">L27-H27</f>
        <v>0</v>
      </c>
      <c r="N27" s="358"/>
      <c r="O27" s="358"/>
      <c r="P27" s="358"/>
      <c r="Q27" s="358"/>
      <c r="R27" s="358"/>
      <c r="S27" s="358"/>
      <c r="T27" s="358"/>
      <c r="U27" s="358"/>
      <c r="V27" s="358"/>
      <c r="W27" s="358"/>
      <c r="X27" s="358"/>
      <c r="Y27" s="358"/>
      <c r="Z27" s="358"/>
      <c r="AA27" s="358"/>
      <c r="AB27" s="358"/>
    </row>
    <row r="28" spans="1:28" ht="27.75" customHeight="1" x14ac:dyDescent="0.3">
      <c r="A28" s="620"/>
      <c r="B28" s="145" t="s">
        <v>508</v>
      </c>
      <c r="C28" s="193">
        <v>440</v>
      </c>
      <c r="D28" s="143">
        <v>0</v>
      </c>
      <c r="E28" s="194">
        <v>0</v>
      </c>
      <c r="F28" s="194">
        <v>0</v>
      </c>
      <c r="G28" s="194">
        <v>0</v>
      </c>
      <c r="H28" s="228">
        <f t="shared" si="20"/>
        <v>-440</v>
      </c>
      <c r="I28" s="194">
        <f>SUMIFS('Cashbook ING'!$B:$B, 'Cashbook ING'!$A:$A, "PT_Casino_Drinks")</f>
        <v>-385.7</v>
      </c>
      <c r="J28" s="194">
        <v>0</v>
      </c>
      <c r="K28" s="194">
        <v>0</v>
      </c>
      <c r="L28" s="145">
        <f>J28+K28+I28</f>
        <v>-385.7</v>
      </c>
      <c r="M28" s="231">
        <f t="shared" si="21"/>
        <v>54.300000000000011</v>
      </c>
      <c r="N28" s="358"/>
      <c r="O28" s="358"/>
      <c r="P28" s="358"/>
      <c r="Q28" s="358"/>
      <c r="R28" s="358"/>
      <c r="S28" s="358"/>
      <c r="T28" s="358"/>
      <c r="U28" s="358"/>
      <c r="V28" s="358"/>
      <c r="W28" s="358"/>
      <c r="X28" s="358"/>
      <c r="Y28" s="358"/>
      <c r="Z28" s="358"/>
      <c r="AA28" s="358"/>
      <c r="AB28" s="358"/>
    </row>
    <row r="29" spans="1:28" ht="27.75" customHeight="1" x14ac:dyDescent="0.3">
      <c r="A29" s="620"/>
      <c r="B29" s="145" t="s">
        <v>521</v>
      </c>
      <c r="C29" s="193">
        <v>130</v>
      </c>
      <c r="D29" s="143">
        <v>0</v>
      </c>
      <c r="E29" s="194">
        <v>0</v>
      </c>
      <c r="F29" s="194">
        <v>0</v>
      </c>
      <c r="G29" s="194">
        <v>0</v>
      </c>
      <c r="H29" s="228">
        <f t="shared" si="20"/>
        <v>-130</v>
      </c>
      <c r="I29" s="194">
        <f>SUMIFS('Cashbook ING'!$B:$B, 'Cashbook ING'!$A:$A, "PT_")</f>
        <v>0</v>
      </c>
      <c r="J29" s="194">
        <v>0</v>
      </c>
      <c r="K29" s="194">
        <v>0</v>
      </c>
      <c r="L29" s="145">
        <f t="shared" ref="L29:L32" si="22">J29+K29-I29</f>
        <v>0</v>
      </c>
      <c r="M29" s="231">
        <f t="shared" si="21"/>
        <v>130</v>
      </c>
      <c r="N29" s="358"/>
      <c r="O29" s="358"/>
      <c r="P29" s="358"/>
      <c r="Q29" s="358"/>
      <c r="R29" s="358"/>
      <c r="S29" s="358"/>
      <c r="T29" s="358"/>
      <c r="U29" s="358"/>
      <c r="V29" s="358"/>
      <c r="W29" s="358"/>
      <c r="X29" s="358"/>
      <c r="Y29" s="358"/>
      <c r="Z29" s="358"/>
      <c r="AA29" s="358"/>
      <c r="AB29" s="358"/>
    </row>
    <row r="30" spans="1:28" ht="27.75" customHeight="1" x14ac:dyDescent="0.3">
      <c r="A30" s="620"/>
      <c r="B30" s="145" t="s">
        <v>602</v>
      </c>
      <c r="C30" s="193">
        <v>60</v>
      </c>
      <c r="D30" s="143">
        <v>0</v>
      </c>
      <c r="E30" s="194">
        <v>0</v>
      </c>
      <c r="F30" s="194">
        <v>0</v>
      </c>
      <c r="G30" s="194">
        <v>0</v>
      </c>
      <c r="H30" s="228">
        <f t="shared" si="20"/>
        <v>-60</v>
      </c>
      <c r="I30" s="194">
        <f>SUMIFS('Cashbook ING'!$B:$B, 'Cashbook ING'!$A:$A, "PT_")</f>
        <v>0</v>
      </c>
      <c r="J30" s="194">
        <v>0</v>
      </c>
      <c r="K30" s="194">
        <v>0</v>
      </c>
      <c r="L30" s="145">
        <f t="shared" si="22"/>
        <v>0</v>
      </c>
      <c r="M30" s="231">
        <f t="shared" si="21"/>
        <v>60</v>
      </c>
      <c r="N30" s="358"/>
      <c r="O30" s="358"/>
      <c r="P30" s="358"/>
      <c r="Q30" s="358"/>
      <c r="R30" s="358"/>
      <c r="S30" s="358"/>
      <c r="T30" s="358"/>
      <c r="U30" s="358"/>
      <c r="V30" s="358"/>
      <c r="W30" s="358"/>
      <c r="X30" s="358"/>
      <c r="Y30" s="358"/>
      <c r="Z30" s="358"/>
      <c r="AA30" s="358"/>
      <c r="AB30" s="358"/>
    </row>
    <row r="31" spans="1:28" ht="27.75" customHeight="1" x14ac:dyDescent="0.3">
      <c r="A31" s="620"/>
      <c r="B31" s="145" t="s">
        <v>509</v>
      </c>
      <c r="C31" s="302">
        <v>0</v>
      </c>
      <c r="D31" s="143">
        <v>80</v>
      </c>
      <c r="E31" s="194">
        <v>7</v>
      </c>
      <c r="F31" s="194">
        <f t="shared" ref="F31:F32" si="23">D31*E31</f>
        <v>560</v>
      </c>
      <c r="G31" s="194">
        <v>0</v>
      </c>
      <c r="H31" s="228">
        <f t="shared" si="20"/>
        <v>560</v>
      </c>
      <c r="I31" s="194">
        <f>SUMIFS('Cashbook ING'!$B:$B, 'Cashbook ING'!$A:$A, "PT_")</f>
        <v>0</v>
      </c>
      <c r="J31" s="194">
        <f>SUMIFS('Cashbook Wix'!$B$2:$B$7106,'Cashbook Wix'!$A$2:$A$7106,"PT_Casino_Member")</f>
        <v>438.13000000000017</v>
      </c>
      <c r="K31" s="194">
        <v>0</v>
      </c>
      <c r="L31" s="145">
        <f t="shared" si="22"/>
        <v>438.13000000000017</v>
      </c>
      <c r="M31" s="231">
        <f t="shared" si="21"/>
        <v>-121.86999999999983</v>
      </c>
      <c r="N31" s="358"/>
      <c r="O31" s="358"/>
      <c r="P31" s="358"/>
      <c r="Q31" s="358"/>
      <c r="R31" s="358"/>
      <c r="S31" s="358"/>
      <c r="T31" s="358"/>
      <c r="U31" s="358"/>
      <c r="V31" s="358"/>
      <c r="W31" s="358"/>
      <c r="X31" s="358"/>
      <c r="Y31" s="358"/>
      <c r="Z31" s="358"/>
      <c r="AA31" s="358"/>
      <c r="AB31" s="358"/>
    </row>
    <row r="32" spans="1:28" ht="27.75" customHeight="1" x14ac:dyDescent="0.3">
      <c r="A32" s="620"/>
      <c r="B32" s="145" t="s">
        <v>510</v>
      </c>
      <c r="C32" s="194">
        <v>0</v>
      </c>
      <c r="D32" s="143">
        <v>20</v>
      </c>
      <c r="E32" s="194">
        <v>9</v>
      </c>
      <c r="F32" s="194">
        <f t="shared" si="23"/>
        <v>180</v>
      </c>
      <c r="G32" s="194">
        <v>0</v>
      </c>
      <c r="H32" s="228">
        <f t="shared" si="20"/>
        <v>180</v>
      </c>
      <c r="I32" s="194">
        <v>0</v>
      </c>
      <c r="J32" s="194">
        <f>SUMIFS('Cashbook Wix'!$B$2:$B$7106,'Cashbook Wix'!$A$2:$A$7106,"PT_Casino_NonMember")</f>
        <v>157.11999999999995</v>
      </c>
      <c r="K32" s="194">
        <v>0</v>
      </c>
      <c r="L32" s="145">
        <f t="shared" si="22"/>
        <v>157.11999999999995</v>
      </c>
      <c r="M32" s="231">
        <f t="shared" si="21"/>
        <v>-22.880000000000052</v>
      </c>
      <c r="N32" s="358"/>
      <c r="O32" s="358"/>
      <c r="P32" s="358"/>
      <c r="Q32" s="358"/>
      <c r="R32" s="358"/>
      <c r="S32" s="358"/>
      <c r="T32" s="358"/>
      <c r="U32" s="358"/>
      <c r="V32" s="358"/>
      <c r="W32" s="358"/>
      <c r="X32" s="358"/>
      <c r="Y32" s="358"/>
      <c r="Z32" s="358"/>
      <c r="AA32" s="358"/>
      <c r="AB32" s="358"/>
    </row>
    <row r="33" spans="1:28" ht="27.75" customHeight="1" x14ac:dyDescent="0.3">
      <c r="A33" s="621"/>
      <c r="B33" s="232" t="s">
        <v>511</v>
      </c>
      <c r="C33" s="233">
        <f t="shared" ref="C33:D33" si="24">SUM(C27:C32)</f>
        <v>630</v>
      </c>
      <c r="D33" s="234">
        <f t="shared" si="24"/>
        <v>100</v>
      </c>
      <c r="E33" s="233">
        <v>0</v>
      </c>
      <c r="F33" s="233">
        <f t="shared" ref="F33:M33" si="25">SUM(F27:F32)</f>
        <v>740</v>
      </c>
      <c r="G33" s="233">
        <f t="shared" si="25"/>
        <v>0</v>
      </c>
      <c r="H33" s="236">
        <f t="shared" si="25"/>
        <v>110</v>
      </c>
      <c r="I33" s="233">
        <f t="shared" si="25"/>
        <v>-385.7</v>
      </c>
      <c r="J33" s="233">
        <f t="shared" si="25"/>
        <v>595.25000000000011</v>
      </c>
      <c r="K33" s="233">
        <f t="shared" si="25"/>
        <v>0</v>
      </c>
      <c r="L33" s="236">
        <f>SUM(L27:L32)</f>
        <v>209.55000000000013</v>
      </c>
      <c r="M33" s="237">
        <f t="shared" si="25"/>
        <v>99.550000000000125</v>
      </c>
      <c r="N33" s="358"/>
      <c r="O33" s="358"/>
      <c r="P33" s="358"/>
      <c r="Q33" s="358"/>
      <c r="R33" s="358"/>
      <c r="S33" s="358"/>
      <c r="T33" s="358"/>
      <c r="U33" s="358"/>
      <c r="V33" s="358"/>
      <c r="W33" s="358"/>
      <c r="X33" s="358"/>
      <c r="Y33" s="358"/>
      <c r="Z33" s="358"/>
      <c r="AA33" s="358"/>
      <c r="AB33" s="358"/>
    </row>
    <row r="34" spans="1:28" ht="27.75" customHeight="1" x14ac:dyDescent="0.3">
      <c r="A34" s="670" t="s">
        <v>605</v>
      </c>
      <c r="B34" s="225" t="s">
        <v>606</v>
      </c>
      <c r="C34" s="226">
        <v>0</v>
      </c>
      <c r="D34" s="227">
        <v>0</v>
      </c>
      <c r="E34" s="226">
        <v>0</v>
      </c>
      <c r="F34" s="226">
        <v>0</v>
      </c>
      <c r="G34" s="226">
        <v>0</v>
      </c>
      <c r="H34" s="276">
        <f t="shared" ref="H34:H36" si="26">F34+G34-C34</f>
        <v>0</v>
      </c>
      <c r="I34" s="226">
        <f>SUMIFS('Cashbook ING'!$B:$B, 'Cashbook ING'!$A:$A, "PT_")</f>
        <v>0</v>
      </c>
      <c r="J34" s="226">
        <v>0</v>
      </c>
      <c r="K34" s="226">
        <v>0</v>
      </c>
      <c r="L34" s="343">
        <f t="shared" ref="L34:L36" si="27">K34+J34+I34</f>
        <v>0</v>
      </c>
      <c r="M34" s="229">
        <f t="shared" ref="M34:M36" si="28">L34-H34</f>
        <v>0</v>
      </c>
      <c r="N34" s="358"/>
      <c r="O34" s="358"/>
      <c r="P34" s="358"/>
      <c r="Q34" s="358"/>
      <c r="R34" s="358"/>
      <c r="S34" s="358"/>
      <c r="T34" s="358"/>
      <c r="U34" s="358"/>
      <c r="V34" s="358"/>
      <c r="W34" s="358"/>
      <c r="X34" s="358"/>
      <c r="Y34" s="358"/>
      <c r="Z34" s="358"/>
      <c r="AA34" s="358"/>
      <c r="AB34" s="358"/>
    </row>
    <row r="35" spans="1:28" ht="27.75" customHeight="1" x14ac:dyDescent="0.3">
      <c r="A35" s="620"/>
      <c r="B35" s="145" t="s">
        <v>509</v>
      </c>
      <c r="C35" s="194">
        <v>0</v>
      </c>
      <c r="D35" s="143">
        <v>150</v>
      </c>
      <c r="E35" s="194">
        <v>0</v>
      </c>
      <c r="F35" s="194">
        <f t="shared" ref="F35:F36" si="29">E35*D35</f>
        <v>0</v>
      </c>
      <c r="G35" s="194">
        <v>0</v>
      </c>
      <c r="H35" s="228">
        <f t="shared" si="26"/>
        <v>0</v>
      </c>
      <c r="I35" s="194">
        <v>0</v>
      </c>
      <c r="J35" s="194">
        <f>SUMIFS('Cashbook Wix'!$B$2:$B$7106,'Cashbook Wix'!$A$2:$A$7106,"PT_")</f>
        <v>0</v>
      </c>
      <c r="K35" s="194">
        <v>0</v>
      </c>
      <c r="L35" s="145">
        <f t="shared" si="27"/>
        <v>0</v>
      </c>
      <c r="M35" s="231">
        <f t="shared" si="28"/>
        <v>0</v>
      </c>
      <c r="N35" s="358"/>
      <c r="O35" s="358"/>
      <c r="P35" s="358"/>
      <c r="Q35" s="358"/>
      <c r="R35" s="358"/>
      <c r="S35" s="358"/>
      <c r="T35" s="358"/>
      <c r="U35" s="358"/>
      <c r="V35" s="358"/>
      <c r="W35" s="358"/>
      <c r="X35" s="358"/>
      <c r="Y35" s="358"/>
      <c r="Z35" s="358"/>
      <c r="AA35" s="358"/>
      <c r="AB35" s="358"/>
    </row>
    <row r="36" spans="1:28" ht="27.75" customHeight="1" x14ac:dyDescent="0.3">
      <c r="A36" s="620"/>
      <c r="B36" s="145" t="s">
        <v>510</v>
      </c>
      <c r="C36" s="194">
        <v>0</v>
      </c>
      <c r="D36" s="143">
        <v>25</v>
      </c>
      <c r="E36" s="194">
        <v>0</v>
      </c>
      <c r="F36" s="194">
        <f t="shared" si="29"/>
        <v>0</v>
      </c>
      <c r="G36" s="194">
        <v>0</v>
      </c>
      <c r="H36" s="228">
        <f t="shared" si="26"/>
        <v>0</v>
      </c>
      <c r="I36" s="194">
        <v>0</v>
      </c>
      <c r="J36" s="194">
        <f>SUMIFS('Cashbook Wix'!$B$2:$B$7106,'Cashbook Wix'!$A$2:$A$7106,"PT_")</f>
        <v>0</v>
      </c>
      <c r="K36" s="194">
        <v>0</v>
      </c>
      <c r="L36" s="145">
        <f t="shared" si="27"/>
        <v>0</v>
      </c>
      <c r="M36" s="231">
        <f t="shared" si="28"/>
        <v>0</v>
      </c>
      <c r="N36" s="358"/>
      <c r="O36" s="358"/>
      <c r="P36" s="358"/>
      <c r="Q36" s="358"/>
      <c r="R36" s="358"/>
      <c r="S36" s="358"/>
      <c r="T36" s="358"/>
      <c r="U36" s="358"/>
      <c r="V36" s="358"/>
      <c r="W36" s="358"/>
      <c r="X36" s="358"/>
      <c r="Y36" s="358"/>
      <c r="Z36" s="358"/>
      <c r="AA36" s="358"/>
      <c r="AB36" s="358"/>
    </row>
    <row r="37" spans="1:28" ht="27.75" customHeight="1" x14ac:dyDescent="0.3">
      <c r="A37" s="621"/>
      <c r="B37" s="232" t="s">
        <v>511</v>
      </c>
      <c r="C37" s="233">
        <f t="shared" ref="C37:D37" si="30">SUM(C34:C36)</f>
        <v>0</v>
      </c>
      <c r="D37" s="234">
        <f t="shared" si="30"/>
        <v>175</v>
      </c>
      <c r="E37" s="235">
        <v>0</v>
      </c>
      <c r="F37" s="233">
        <f>SUM(F34:F36)</f>
        <v>0</v>
      </c>
      <c r="G37" s="235">
        <v>0</v>
      </c>
      <c r="H37" s="236">
        <f t="shared" ref="H37:M37" si="31">SUM(H34:H36)</f>
        <v>0</v>
      </c>
      <c r="I37" s="233">
        <f t="shared" si="31"/>
        <v>0</v>
      </c>
      <c r="J37" s="233">
        <f t="shared" si="31"/>
        <v>0</v>
      </c>
      <c r="K37" s="233">
        <f t="shared" si="31"/>
        <v>0</v>
      </c>
      <c r="L37" s="236">
        <f t="shared" si="31"/>
        <v>0</v>
      </c>
      <c r="M37" s="237">
        <f t="shared" si="31"/>
        <v>0</v>
      </c>
      <c r="N37" s="358"/>
      <c r="O37" s="358"/>
      <c r="P37" s="358"/>
      <c r="Q37" s="358"/>
      <c r="R37" s="358"/>
      <c r="S37" s="358"/>
      <c r="T37" s="358"/>
      <c r="U37" s="358"/>
      <c r="V37" s="358"/>
      <c r="W37" s="358"/>
      <c r="X37" s="358"/>
      <c r="Y37" s="358"/>
      <c r="Z37" s="358"/>
      <c r="AA37" s="358"/>
      <c r="AB37" s="358"/>
    </row>
    <row r="38" spans="1:28" ht="27.75" customHeight="1" x14ac:dyDescent="0.3">
      <c r="A38" s="670" t="s">
        <v>607</v>
      </c>
      <c r="B38" s="343" t="s">
        <v>507</v>
      </c>
      <c r="C38" s="277">
        <v>0</v>
      </c>
      <c r="D38" s="227">
        <v>0</v>
      </c>
      <c r="E38" s="226">
        <v>0</v>
      </c>
      <c r="F38" s="226">
        <f>E38*D38</f>
        <v>0</v>
      </c>
      <c r="G38" s="226">
        <v>0</v>
      </c>
      <c r="H38" s="276">
        <f t="shared" ref="H38:H42" si="32">F38+G38-C38</f>
        <v>0</v>
      </c>
      <c r="I38" s="226">
        <f>SUMIFS('Cashbook ING'!$B:$B, 'Cashbook ING'!$A:$A, "PT_")</f>
        <v>0</v>
      </c>
      <c r="J38" s="226">
        <v>0</v>
      </c>
      <c r="K38" s="226">
        <v>0</v>
      </c>
      <c r="L38" s="343">
        <f>J38+K38+I38</f>
        <v>0</v>
      </c>
      <c r="M38" s="244">
        <f t="shared" ref="M38:M42" si="33">L38-H38</f>
        <v>0</v>
      </c>
      <c r="N38" s="358"/>
      <c r="O38" s="358"/>
      <c r="P38" s="358"/>
      <c r="Q38" s="358"/>
      <c r="R38" s="358"/>
      <c r="S38" s="358"/>
      <c r="T38" s="358"/>
      <c r="U38" s="358"/>
      <c r="V38" s="358"/>
      <c r="W38" s="358"/>
      <c r="X38" s="358"/>
      <c r="Y38" s="358"/>
      <c r="Z38" s="358"/>
      <c r="AA38" s="358"/>
      <c r="AB38" s="358"/>
    </row>
    <row r="39" spans="1:28" ht="27.75" customHeight="1" x14ac:dyDescent="0.3">
      <c r="A39" s="620"/>
      <c r="B39" s="145" t="s">
        <v>508</v>
      </c>
      <c r="C39" s="193">
        <v>350</v>
      </c>
      <c r="D39" s="143">
        <v>0</v>
      </c>
      <c r="E39" s="194">
        <v>0</v>
      </c>
      <c r="F39" s="194">
        <v>0</v>
      </c>
      <c r="G39" s="194">
        <v>0</v>
      </c>
      <c r="H39" s="228">
        <f t="shared" si="32"/>
        <v>-350</v>
      </c>
      <c r="I39" s="194">
        <f>SUMIFS('Cashbook ING'!$B:$B, 'Cashbook ING'!$A:$A, "PT_")</f>
        <v>0</v>
      </c>
      <c r="J39" s="194">
        <v>0</v>
      </c>
      <c r="K39" s="194">
        <v>0</v>
      </c>
      <c r="L39" s="145">
        <f t="shared" ref="L39:L42" si="34">J39+K39-I39</f>
        <v>0</v>
      </c>
      <c r="M39" s="231">
        <f t="shared" si="33"/>
        <v>350</v>
      </c>
      <c r="N39" s="358"/>
      <c r="O39" s="358"/>
      <c r="P39" s="358"/>
      <c r="Q39" s="358"/>
      <c r="R39" s="358"/>
      <c r="S39" s="358"/>
      <c r="T39" s="358"/>
      <c r="U39" s="358"/>
      <c r="V39" s="358"/>
      <c r="W39" s="358"/>
      <c r="X39" s="358"/>
      <c r="Y39" s="358"/>
      <c r="Z39" s="358"/>
      <c r="AA39" s="358"/>
      <c r="AB39" s="358"/>
    </row>
    <row r="40" spans="1:28" ht="27.75" customHeight="1" x14ac:dyDescent="0.3">
      <c r="A40" s="620"/>
      <c r="B40" s="145" t="s">
        <v>602</v>
      </c>
      <c r="C40" s="193">
        <v>0</v>
      </c>
      <c r="D40" s="143">
        <v>0</v>
      </c>
      <c r="E40" s="194">
        <v>0</v>
      </c>
      <c r="F40" s="194">
        <v>0</v>
      </c>
      <c r="G40" s="194">
        <v>0</v>
      </c>
      <c r="H40" s="228">
        <f t="shared" si="32"/>
        <v>0</v>
      </c>
      <c r="I40" s="194">
        <f>SUMIFS('Cashbook ING'!$B:$B, 'Cashbook ING'!$A:$A, "PT_")</f>
        <v>0</v>
      </c>
      <c r="J40" s="194">
        <v>0</v>
      </c>
      <c r="K40" s="194">
        <v>0</v>
      </c>
      <c r="L40" s="145">
        <f t="shared" si="34"/>
        <v>0</v>
      </c>
      <c r="M40" s="231">
        <f t="shared" si="33"/>
        <v>0</v>
      </c>
      <c r="N40" s="358"/>
      <c r="O40" s="358"/>
      <c r="P40" s="358"/>
      <c r="Q40" s="358"/>
      <c r="R40" s="358"/>
      <c r="S40" s="358"/>
      <c r="T40" s="358"/>
      <c r="U40" s="358"/>
      <c r="V40" s="358"/>
      <c r="W40" s="358"/>
      <c r="X40" s="358"/>
      <c r="Y40" s="358"/>
      <c r="Z40" s="358"/>
      <c r="AA40" s="358"/>
      <c r="AB40" s="358"/>
    </row>
    <row r="41" spans="1:28" ht="27.75" customHeight="1" x14ac:dyDescent="0.3">
      <c r="A41" s="620"/>
      <c r="B41" s="145" t="s">
        <v>509</v>
      </c>
      <c r="C41" s="302">
        <v>0</v>
      </c>
      <c r="D41" s="143">
        <v>80</v>
      </c>
      <c r="E41" s="194">
        <v>3</v>
      </c>
      <c r="F41" s="194">
        <f t="shared" ref="F41:F42" si="35">D41*E41</f>
        <v>240</v>
      </c>
      <c r="G41" s="194">
        <v>0</v>
      </c>
      <c r="H41" s="228">
        <f t="shared" si="32"/>
        <v>240</v>
      </c>
      <c r="I41" s="194">
        <f>SUMIFS('Cashbook ING'!$B:$B, 'Cashbook ING'!$A:$A, "PT_BeerPong_Unforeseen")*-1</f>
        <v>0</v>
      </c>
      <c r="J41" s="194">
        <f>SUMIFS('Cashbook Wix'!$B$2:$B$7106,'Cashbook Wix'!$A$2:$A$7106,"PT_")</f>
        <v>0</v>
      </c>
      <c r="K41" s="194">
        <v>0</v>
      </c>
      <c r="L41" s="145">
        <f t="shared" si="34"/>
        <v>0</v>
      </c>
      <c r="M41" s="231">
        <f t="shared" si="33"/>
        <v>-240</v>
      </c>
      <c r="N41" s="280"/>
      <c r="O41" s="312"/>
      <c r="P41" s="312"/>
      <c r="Q41" s="312"/>
      <c r="R41" s="312"/>
      <c r="S41" s="312"/>
      <c r="T41" s="312"/>
      <c r="U41" s="312"/>
      <c r="V41" s="312"/>
      <c r="W41" s="312"/>
      <c r="X41" s="312"/>
      <c r="Y41" s="312"/>
      <c r="Z41" s="312"/>
      <c r="AA41" s="312"/>
      <c r="AB41" s="312"/>
    </row>
    <row r="42" spans="1:28" ht="27.75" customHeight="1" x14ac:dyDescent="0.3">
      <c r="A42" s="620"/>
      <c r="B42" s="145" t="s">
        <v>510</v>
      </c>
      <c r="C42" s="194">
        <v>0</v>
      </c>
      <c r="D42" s="143">
        <v>20</v>
      </c>
      <c r="E42" s="194">
        <v>5</v>
      </c>
      <c r="F42" s="194">
        <f t="shared" si="35"/>
        <v>100</v>
      </c>
      <c r="G42" s="194">
        <v>0</v>
      </c>
      <c r="H42" s="228">
        <f t="shared" si="32"/>
        <v>100</v>
      </c>
      <c r="I42" s="194">
        <v>0</v>
      </c>
      <c r="J42" s="194">
        <f>SUMIFS('Cashbook Wix'!$B$2:$B$7106,'Cashbook Wix'!$A$2:$A$7106,"PT_")</f>
        <v>0</v>
      </c>
      <c r="K42" s="194">
        <v>0</v>
      </c>
      <c r="L42" s="145">
        <f t="shared" si="34"/>
        <v>0</v>
      </c>
      <c r="M42" s="231">
        <f t="shared" si="33"/>
        <v>-100</v>
      </c>
      <c r="N42" s="280"/>
      <c r="O42" s="312"/>
      <c r="P42" s="312"/>
      <c r="Q42" s="312"/>
      <c r="R42" s="312"/>
      <c r="S42" s="312"/>
      <c r="T42" s="312"/>
      <c r="U42" s="312"/>
      <c r="V42" s="312"/>
      <c r="W42" s="312"/>
      <c r="X42" s="312"/>
      <c r="Y42" s="312"/>
      <c r="Z42" s="312"/>
      <c r="AA42" s="312"/>
      <c r="AB42" s="312"/>
    </row>
    <row r="43" spans="1:28" ht="27.75" customHeight="1" x14ac:dyDescent="0.3">
      <c r="A43" s="621"/>
      <c r="B43" s="232" t="s">
        <v>511</v>
      </c>
      <c r="C43" s="233">
        <f t="shared" ref="C43:D43" si="36">SUM(C38:C42)</f>
        <v>350</v>
      </c>
      <c r="D43" s="234">
        <f t="shared" si="36"/>
        <v>100</v>
      </c>
      <c r="E43" s="233">
        <v>0</v>
      </c>
      <c r="F43" s="233">
        <f t="shared" ref="F43:M43" si="37">SUM(F38:F42)</f>
        <v>340</v>
      </c>
      <c r="G43" s="233">
        <f t="shared" si="37"/>
        <v>0</v>
      </c>
      <c r="H43" s="236">
        <f t="shared" si="37"/>
        <v>-10</v>
      </c>
      <c r="I43" s="233">
        <f t="shared" si="37"/>
        <v>0</v>
      </c>
      <c r="J43" s="233">
        <f t="shared" si="37"/>
        <v>0</v>
      </c>
      <c r="K43" s="233">
        <f t="shared" si="37"/>
        <v>0</v>
      </c>
      <c r="L43" s="236">
        <f t="shared" si="37"/>
        <v>0</v>
      </c>
      <c r="M43" s="237">
        <f t="shared" si="37"/>
        <v>10</v>
      </c>
      <c r="N43" s="280"/>
      <c r="O43" s="312"/>
      <c r="P43" s="312"/>
      <c r="Q43" s="312"/>
      <c r="R43" s="312"/>
      <c r="S43" s="312"/>
      <c r="T43" s="312"/>
      <c r="U43" s="312"/>
      <c r="V43" s="312"/>
      <c r="W43" s="312"/>
      <c r="X43" s="312"/>
      <c r="Y43" s="312"/>
      <c r="Z43" s="312"/>
      <c r="AA43" s="312"/>
      <c r="AB43" s="312"/>
    </row>
    <row r="44" spans="1:28" ht="27.75" customHeight="1" x14ac:dyDescent="0.3">
      <c r="A44" s="624" t="s">
        <v>608</v>
      </c>
      <c r="B44" s="238" t="s">
        <v>609</v>
      </c>
      <c r="C44" s="239">
        <v>7000</v>
      </c>
      <c r="D44" s="240">
        <v>0</v>
      </c>
      <c r="E44" s="239">
        <v>0</v>
      </c>
      <c r="F44" s="241">
        <v>0</v>
      </c>
      <c r="G44" s="241">
        <v>0</v>
      </c>
      <c r="H44" s="242">
        <f t="shared" ref="H44:H50" si="38">G44+F44-C44</f>
        <v>-7000</v>
      </c>
      <c r="I44" s="241">
        <f>SUMIFS('Cashbook ING'!$B:$B, 'Cashbook ING'!$A:$A, "PT_")</f>
        <v>0</v>
      </c>
      <c r="J44" s="241">
        <v>0</v>
      </c>
      <c r="K44" s="241">
        <v>0</v>
      </c>
      <c r="L44" s="243">
        <f t="shared" ref="L44:L50" si="39">K44+J44+I44</f>
        <v>0</v>
      </c>
      <c r="M44" s="244">
        <f t="shared" ref="M44:M50" si="40">L44-H44</f>
        <v>7000</v>
      </c>
      <c r="N44" s="358"/>
      <c r="O44" s="358"/>
      <c r="P44" s="358"/>
      <c r="Q44" s="358"/>
      <c r="R44" s="358"/>
      <c r="S44" s="358"/>
      <c r="T44" s="358"/>
      <c r="U44" s="358"/>
      <c r="V44" s="358"/>
      <c r="W44" s="358"/>
      <c r="X44" s="358"/>
      <c r="Y44" s="358"/>
      <c r="Z44" s="358"/>
      <c r="AA44" s="358"/>
      <c r="AB44" s="358"/>
    </row>
    <row r="45" spans="1:28" ht="27.75" customHeight="1" x14ac:dyDescent="0.3">
      <c r="A45" s="617"/>
      <c r="B45" s="245" t="s">
        <v>600</v>
      </c>
      <c r="C45" s="193">
        <v>300</v>
      </c>
      <c r="D45" s="160">
        <v>0</v>
      </c>
      <c r="E45" s="193">
        <v>0</v>
      </c>
      <c r="F45" s="194">
        <v>0</v>
      </c>
      <c r="G45" s="194">
        <v>0</v>
      </c>
      <c r="H45" s="228">
        <f t="shared" si="38"/>
        <v>-300</v>
      </c>
      <c r="I45" s="194">
        <f>SUMIFS('Cashbook ING'!$B:$B, 'Cashbook ING'!$A:$A, "PT_")</f>
        <v>0</v>
      </c>
      <c r="J45" s="194">
        <v>0</v>
      </c>
      <c r="K45" s="194">
        <v>0</v>
      </c>
      <c r="L45" s="145">
        <f t="shared" si="39"/>
        <v>0</v>
      </c>
      <c r="M45" s="231">
        <f t="shared" si="40"/>
        <v>300</v>
      </c>
      <c r="N45" s="358"/>
      <c r="O45" s="358"/>
      <c r="P45" s="358"/>
      <c r="Q45" s="358"/>
      <c r="R45" s="358"/>
      <c r="S45" s="358"/>
      <c r="T45" s="358"/>
      <c r="U45" s="358"/>
      <c r="V45" s="358"/>
      <c r="W45" s="358"/>
      <c r="X45" s="358"/>
      <c r="Y45" s="358"/>
      <c r="Z45" s="358"/>
      <c r="AA45" s="358"/>
      <c r="AB45" s="358"/>
    </row>
    <row r="46" spans="1:28" ht="27.75" customHeight="1" x14ac:dyDescent="0.3">
      <c r="A46" s="617"/>
      <c r="B46" s="245" t="s">
        <v>522</v>
      </c>
      <c r="C46" s="193">
        <v>500</v>
      </c>
      <c r="D46" s="160">
        <v>0</v>
      </c>
      <c r="E46" s="193">
        <v>0</v>
      </c>
      <c r="F46" s="194">
        <v>0</v>
      </c>
      <c r="G46" s="194">
        <v>0</v>
      </c>
      <c r="H46" s="228">
        <f t="shared" si="38"/>
        <v>-500</v>
      </c>
      <c r="I46" s="194">
        <f>SUMIFS('Cashbook ING'!$B:$B, 'Cashbook ING'!$A:$A, "PT_")</f>
        <v>0</v>
      </c>
      <c r="J46" s="194">
        <v>0</v>
      </c>
      <c r="K46" s="194">
        <v>0</v>
      </c>
      <c r="L46" s="145">
        <f t="shared" si="39"/>
        <v>0</v>
      </c>
      <c r="M46" s="231">
        <f t="shared" si="40"/>
        <v>500</v>
      </c>
      <c r="N46" s="358"/>
      <c r="O46" s="358"/>
      <c r="P46" s="358"/>
      <c r="Q46" s="358"/>
      <c r="R46" s="358"/>
      <c r="S46" s="358"/>
      <c r="T46" s="358"/>
      <c r="U46" s="358"/>
      <c r="V46" s="358"/>
      <c r="W46" s="358"/>
      <c r="X46" s="358"/>
      <c r="Y46" s="358"/>
      <c r="Z46" s="358"/>
      <c r="AA46" s="358"/>
      <c r="AB46" s="358"/>
    </row>
    <row r="47" spans="1:28" ht="27.75" customHeight="1" x14ac:dyDescent="0.3">
      <c r="A47" s="617"/>
      <c r="B47" s="245" t="s">
        <v>602</v>
      </c>
      <c r="C47" s="193">
        <v>850</v>
      </c>
      <c r="D47" s="160">
        <v>0</v>
      </c>
      <c r="E47" s="193">
        <v>0</v>
      </c>
      <c r="F47" s="194">
        <v>0</v>
      </c>
      <c r="G47" s="194">
        <v>0</v>
      </c>
      <c r="H47" s="228">
        <f t="shared" si="38"/>
        <v>-850</v>
      </c>
      <c r="I47" s="194">
        <f>SUMIFS('Cashbook ING'!$B:$B, 'Cashbook ING'!$A:$A, "PT_")</f>
        <v>0</v>
      </c>
      <c r="J47" s="194">
        <v>0</v>
      </c>
      <c r="K47" s="194">
        <v>0</v>
      </c>
      <c r="L47" s="145">
        <f t="shared" si="39"/>
        <v>0</v>
      </c>
      <c r="M47" s="231">
        <f t="shared" si="40"/>
        <v>850</v>
      </c>
      <c r="N47" s="270"/>
      <c r="O47" s="358"/>
      <c r="P47" s="358"/>
      <c r="Q47" s="358"/>
      <c r="R47" s="358"/>
      <c r="S47" s="358"/>
      <c r="T47" s="358"/>
      <c r="U47" s="358"/>
      <c r="V47" s="358"/>
      <c r="W47" s="358"/>
      <c r="X47" s="358"/>
      <c r="Y47" s="358"/>
      <c r="Z47" s="358"/>
      <c r="AA47" s="358"/>
      <c r="AB47" s="358"/>
    </row>
    <row r="48" spans="1:28" ht="27.75" customHeight="1" x14ac:dyDescent="0.3">
      <c r="A48" s="617"/>
      <c r="B48" s="245" t="s">
        <v>610</v>
      </c>
      <c r="C48" s="193">
        <v>0</v>
      </c>
      <c r="D48" s="160">
        <v>0</v>
      </c>
      <c r="E48" s="193">
        <v>0</v>
      </c>
      <c r="F48" s="194">
        <f t="shared" ref="F48:F50" si="41">E48*D48</f>
        <v>0</v>
      </c>
      <c r="G48" s="194">
        <v>0</v>
      </c>
      <c r="H48" s="228">
        <f t="shared" si="38"/>
        <v>0</v>
      </c>
      <c r="I48" s="194">
        <f>SUMIFS('Cashbook ING'!$B:$B, 'Cashbook ING'!$A:$A, "PT_")</f>
        <v>0</v>
      </c>
      <c r="J48" s="194">
        <v>0</v>
      </c>
      <c r="K48" s="194">
        <v>0</v>
      </c>
      <c r="L48" s="145">
        <f t="shared" si="39"/>
        <v>0</v>
      </c>
      <c r="M48" s="231">
        <f t="shared" si="40"/>
        <v>0</v>
      </c>
      <c r="N48" s="270"/>
      <c r="O48" s="358"/>
      <c r="P48" s="358"/>
      <c r="Q48" s="358"/>
      <c r="R48" s="358"/>
      <c r="S48" s="358"/>
      <c r="T48" s="358"/>
      <c r="U48" s="358"/>
      <c r="V48" s="358"/>
      <c r="W48" s="358"/>
      <c r="X48" s="358"/>
      <c r="Y48" s="358"/>
      <c r="Z48" s="358"/>
      <c r="AA48" s="358"/>
      <c r="AB48" s="358"/>
    </row>
    <row r="49" spans="1:28" ht="27.75" customHeight="1" x14ac:dyDescent="0.3">
      <c r="A49" s="617"/>
      <c r="B49" s="245" t="s">
        <v>509</v>
      </c>
      <c r="C49" s="193">
        <v>0</v>
      </c>
      <c r="D49" s="160">
        <v>250</v>
      </c>
      <c r="E49" s="193">
        <v>24</v>
      </c>
      <c r="F49" s="194">
        <f t="shared" si="41"/>
        <v>6000</v>
      </c>
      <c r="G49" s="194">
        <v>0</v>
      </c>
      <c r="H49" s="228">
        <f t="shared" si="38"/>
        <v>6000</v>
      </c>
      <c r="I49" s="194">
        <v>0</v>
      </c>
      <c r="J49" s="194">
        <f>SUMIFS('Cashbook Wix'!$B$2:$B$7106,'Cashbook Wix'!$A$2:$A$7106,"PT_")</f>
        <v>0</v>
      </c>
      <c r="K49" s="194">
        <v>0</v>
      </c>
      <c r="L49" s="145">
        <f t="shared" si="39"/>
        <v>0</v>
      </c>
      <c r="M49" s="231">
        <f t="shared" si="40"/>
        <v>-6000</v>
      </c>
      <c r="N49" s="270"/>
      <c r="O49" s="358"/>
      <c r="P49" s="358"/>
      <c r="Q49" s="358"/>
      <c r="R49" s="358"/>
      <c r="S49" s="358"/>
      <c r="T49" s="358"/>
      <c r="U49" s="358"/>
      <c r="V49" s="358"/>
      <c r="W49" s="358"/>
      <c r="X49" s="358"/>
      <c r="Y49" s="358"/>
      <c r="Z49" s="358"/>
      <c r="AA49" s="358"/>
      <c r="AB49" s="358"/>
    </row>
    <row r="50" spans="1:28" ht="27.75" customHeight="1" x14ac:dyDescent="0.3">
      <c r="A50" s="617"/>
      <c r="B50" s="145" t="s">
        <v>510</v>
      </c>
      <c r="C50" s="194">
        <v>0</v>
      </c>
      <c r="D50" s="143">
        <v>30</v>
      </c>
      <c r="E50" s="194">
        <v>28</v>
      </c>
      <c r="F50" s="194">
        <f t="shared" si="41"/>
        <v>840</v>
      </c>
      <c r="G50" s="194">
        <v>0</v>
      </c>
      <c r="H50" s="228">
        <f t="shared" si="38"/>
        <v>840</v>
      </c>
      <c r="I50" s="194">
        <v>0</v>
      </c>
      <c r="J50" s="194">
        <f>SUMIFS('Cashbook Wix'!$B$2:$B$7106,'Cashbook Wix'!$A$2:$A$7106,"PT_")</f>
        <v>0</v>
      </c>
      <c r="K50" s="194">
        <v>0</v>
      </c>
      <c r="L50" s="145">
        <f t="shared" si="39"/>
        <v>0</v>
      </c>
      <c r="M50" s="231">
        <f t="shared" si="40"/>
        <v>-840</v>
      </c>
      <c r="N50" s="270"/>
      <c r="O50" s="358"/>
      <c r="P50" s="358"/>
      <c r="Q50" s="358"/>
      <c r="R50" s="358"/>
      <c r="S50" s="358"/>
      <c r="T50" s="358"/>
      <c r="U50" s="358"/>
      <c r="V50" s="358"/>
      <c r="W50" s="358"/>
      <c r="X50" s="358"/>
      <c r="Y50" s="358"/>
      <c r="Z50" s="358"/>
      <c r="AA50" s="358"/>
      <c r="AB50" s="358"/>
    </row>
    <row r="51" spans="1:28" ht="27.75" customHeight="1" x14ac:dyDescent="0.3">
      <c r="A51" s="623"/>
      <c r="B51" s="232" t="s">
        <v>511</v>
      </c>
      <c r="C51" s="233">
        <f>SUM(C44:C50)</f>
        <v>8650</v>
      </c>
      <c r="D51" s="246">
        <f>SUM(D49:D50)</f>
        <v>280</v>
      </c>
      <c r="E51" s="233">
        <v>0</v>
      </c>
      <c r="F51" s="233">
        <f t="shared" ref="F51:M51" si="42">SUM(F44:F50)</f>
        <v>6840</v>
      </c>
      <c r="G51" s="233">
        <f t="shared" si="42"/>
        <v>0</v>
      </c>
      <c r="H51" s="236">
        <f t="shared" si="42"/>
        <v>-1810</v>
      </c>
      <c r="I51" s="233">
        <f t="shared" si="42"/>
        <v>0</v>
      </c>
      <c r="J51" s="233">
        <f t="shared" si="42"/>
        <v>0</v>
      </c>
      <c r="K51" s="233">
        <f t="shared" si="42"/>
        <v>0</v>
      </c>
      <c r="L51" s="236">
        <f t="shared" si="42"/>
        <v>0</v>
      </c>
      <c r="M51" s="237">
        <f t="shared" si="42"/>
        <v>1810</v>
      </c>
      <c r="N51" s="270"/>
      <c r="O51" s="270"/>
      <c r="P51" s="270"/>
      <c r="Q51" s="270"/>
      <c r="R51" s="270"/>
      <c r="S51" s="270"/>
      <c r="T51" s="270"/>
      <c r="U51" s="270"/>
      <c r="V51" s="270"/>
      <c r="W51" s="270"/>
      <c r="X51" s="270"/>
      <c r="Y51" s="270"/>
      <c r="Z51" s="270"/>
      <c r="AA51" s="270"/>
      <c r="AB51" s="270"/>
    </row>
    <row r="52" spans="1:28" ht="27.75" customHeight="1" x14ac:dyDescent="0.3">
      <c r="A52" s="626" t="s">
        <v>611</v>
      </c>
      <c r="B52" s="243" t="s">
        <v>507</v>
      </c>
      <c r="C52" s="241">
        <v>2500</v>
      </c>
      <c r="D52" s="247">
        <v>0</v>
      </c>
      <c r="E52" s="241">
        <v>0</v>
      </c>
      <c r="F52" s="241">
        <v>0</v>
      </c>
      <c r="G52" s="241">
        <v>0</v>
      </c>
      <c r="H52" s="242">
        <f t="shared" ref="H52:H57" si="43">F52+G52-C52</f>
        <v>-2500</v>
      </c>
      <c r="I52" s="241">
        <f>SUMIFS('Cashbook ING'!$B:$B, 'Cashbook ING'!$A:$A, "PT_")</f>
        <v>0</v>
      </c>
      <c r="J52" s="241">
        <v>0</v>
      </c>
      <c r="K52" s="241">
        <v>0</v>
      </c>
      <c r="L52" s="248">
        <f>J52+K52+I52</f>
        <v>0</v>
      </c>
      <c r="M52" s="244">
        <f t="shared" ref="M52:M57" si="44">L52-H52</f>
        <v>2500</v>
      </c>
      <c r="N52" s="270"/>
      <c r="O52" s="358"/>
      <c r="P52" s="358"/>
      <c r="Q52" s="358"/>
      <c r="R52" s="358"/>
      <c r="S52" s="358"/>
      <c r="T52" s="358"/>
      <c r="U52" s="358"/>
      <c r="V52" s="358"/>
      <c r="W52" s="358"/>
      <c r="X52" s="358"/>
      <c r="Y52" s="358"/>
      <c r="Z52" s="358"/>
      <c r="AA52" s="358"/>
      <c r="AB52" s="358"/>
    </row>
    <row r="53" spans="1:28" ht="27.75" customHeight="1" x14ac:dyDescent="0.3">
      <c r="A53" s="627"/>
      <c r="B53" s="145" t="s">
        <v>508</v>
      </c>
      <c r="C53" s="194">
        <v>509.41</v>
      </c>
      <c r="D53" s="143">
        <v>0</v>
      </c>
      <c r="E53" s="194">
        <v>0</v>
      </c>
      <c r="F53" s="194">
        <v>0</v>
      </c>
      <c r="G53" s="194">
        <v>0</v>
      </c>
      <c r="H53" s="228">
        <f t="shared" si="43"/>
        <v>-509.41</v>
      </c>
      <c r="I53" s="194">
        <f>SUMIFS('Cashbook ING'!$B:$B, 'Cashbook ING'!$A:$A, "PT_")</f>
        <v>0</v>
      </c>
      <c r="J53" s="194">
        <v>0</v>
      </c>
      <c r="K53" s="194">
        <v>0</v>
      </c>
      <c r="L53" s="145">
        <f t="shared" ref="L53:L57" si="45">K53+J53+I53</f>
        <v>0</v>
      </c>
      <c r="M53" s="231">
        <f t="shared" si="44"/>
        <v>509.41</v>
      </c>
      <c r="N53" s="270"/>
      <c r="O53" s="358"/>
      <c r="P53" s="358"/>
      <c r="Q53" s="358"/>
      <c r="R53" s="358"/>
      <c r="S53" s="358"/>
      <c r="T53" s="358"/>
      <c r="U53" s="358"/>
      <c r="V53" s="358"/>
      <c r="W53" s="358"/>
      <c r="X53" s="358"/>
      <c r="Y53" s="358"/>
      <c r="Z53" s="358"/>
      <c r="AA53" s="358"/>
      <c r="AB53" s="358"/>
    </row>
    <row r="54" spans="1:28" ht="27.75" customHeight="1" x14ac:dyDescent="0.3">
      <c r="A54" s="627"/>
      <c r="B54" s="145" t="s">
        <v>522</v>
      </c>
      <c r="C54" s="194">
        <v>300</v>
      </c>
      <c r="D54" s="143">
        <v>0</v>
      </c>
      <c r="E54" s="194">
        <v>0</v>
      </c>
      <c r="F54" s="194">
        <v>0</v>
      </c>
      <c r="G54" s="194">
        <v>0</v>
      </c>
      <c r="H54" s="228">
        <f t="shared" si="43"/>
        <v>-300</v>
      </c>
      <c r="I54" s="194">
        <f>SUMIFS('Cashbook ING'!$B:$B, 'Cashbook ING'!$A:$A, "PT_")</f>
        <v>0</v>
      </c>
      <c r="J54" s="194">
        <v>0</v>
      </c>
      <c r="K54" s="194">
        <v>0</v>
      </c>
      <c r="L54" s="145">
        <f t="shared" si="45"/>
        <v>0</v>
      </c>
      <c r="M54" s="231">
        <f t="shared" si="44"/>
        <v>300</v>
      </c>
      <c r="N54" s="270"/>
      <c r="O54" s="358"/>
      <c r="P54" s="358"/>
      <c r="Q54" s="358"/>
      <c r="R54" s="358"/>
      <c r="S54" s="358"/>
      <c r="T54" s="358"/>
      <c r="U54" s="358"/>
      <c r="V54" s="358"/>
      <c r="W54" s="358"/>
      <c r="X54" s="358"/>
      <c r="Y54" s="358"/>
      <c r="Z54" s="358"/>
      <c r="AA54" s="358"/>
      <c r="AB54" s="358"/>
    </row>
    <row r="55" spans="1:28" ht="27.75" customHeight="1" x14ac:dyDescent="0.3">
      <c r="A55" s="627"/>
      <c r="B55" s="145" t="s">
        <v>602</v>
      </c>
      <c r="C55" s="193">
        <v>377.4</v>
      </c>
      <c r="D55" s="143">
        <v>0</v>
      </c>
      <c r="E55" s="194">
        <v>0</v>
      </c>
      <c r="F55" s="194">
        <v>0</v>
      </c>
      <c r="G55" s="194">
        <v>0</v>
      </c>
      <c r="H55" s="228">
        <f t="shared" si="43"/>
        <v>-377.4</v>
      </c>
      <c r="I55" s="194">
        <f>SUMIFS('Cashbook ING'!$B:$B, 'Cashbook ING'!$A:$A, "PT_")</f>
        <v>0</v>
      </c>
      <c r="J55" s="194">
        <v>0</v>
      </c>
      <c r="K55" s="194">
        <v>0</v>
      </c>
      <c r="L55" s="145">
        <f t="shared" si="45"/>
        <v>0</v>
      </c>
      <c r="M55" s="231">
        <f t="shared" si="44"/>
        <v>377.4</v>
      </c>
      <c r="N55" s="270"/>
      <c r="O55" s="358"/>
      <c r="P55" s="358"/>
      <c r="Q55" s="358"/>
      <c r="R55" s="358"/>
      <c r="S55" s="358"/>
      <c r="T55" s="358"/>
      <c r="U55" s="358"/>
      <c r="V55" s="358"/>
      <c r="W55" s="358"/>
      <c r="X55" s="358"/>
      <c r="Y55" s="358"/>
      <c r="Z55" s="358"/>
      <c r="AA55" s="358"/>
      <c r="AB55" s="358"/>
    </row>
    <row r="56" spans="1:28" ht="27.75" customHeight="1" x14ac:dyDescent="0.3">
      <c r="A56" s="627"/>
      <c r="B56" s="145" t="s">
        <v>509</v>
      </c>
      <c r="C56" s="194">
        <v>0</v>
      </c>
      <c r="D56" s="143">
        <v>130</v>
      </c>
      <c r="E56" s="194">
        <v>11</v>
      </c>
      <c r="F56" s="194">
        <f t="shared" ref="F56:F57" si="46">E56*D56</f>
        <v>1430</v>
      </c>
      <c r="G56" s="194">
        <v>0</v>
      </c>
      <c r="H56" s="228">
        <f t="shared" si="43"/>
        <v>1430</v>
      </c>
      <c r="I56" s="194">
        <v>0</v>
      </c>
      <c r="J56" s="194">
        <f>SUMIFS('Cashbook Wix'!$B$2:$B$7106,'Cashbook Wix'!$A$2:$A$7106,"PT_")</f>
        <v>0</v>
      </c>
      <c r="K56" s="194">
        <v>0</v>
      </c>
      <c r="L56" s="145">
        <f t="shared" si="45"/>
        <v>0</v>
      </c>
      <c r="M56" s="231">
        <f t="shared" si="44"/>
        <v>-1430</v>
      </c>
      <c r="N56" s="270"/>
      <c r="O56" s="358"/>
      <c r="P56" s="358"/>
      <c r="Q56" s="358"/>
      <c r="R56" s="358"/>
      <c r="S56" s="358"/>
      <c r="T56" s="358"/>
      <c r="U56" s="358"/>
      <c r="V56" s="358"/>
      <c r="W56" s="358"/>
      <c r="X56" s="358"/>
      <c r="Y56" s="358"/>
      <c r="Z56" s="358"/>
      <c r="AA56" s="358"/>
      <c r="AB56" s="358"/>
    </row>
    <row r="57" spans="1:28" ht="27.75" customHeight="1" x14ac:dyDescent="0.3">
      <c r="A57" s="627"/>
      <c r="B57" s="145" t="s">
        <v>510</v>
      </c>
      <c r="C57" s="194">
        <v>0</v>
      </c>
      <c r="D57" s="143">
        <v>20</v>
      </c>
      <c r="E57" s="194">
        <v>14</v>
      </c>
      <c r="F57" s="194">
        <f t="shared" si="46"/>
        <v>280</v>
      </c>
      <c r="G57" s="194">
        <v>0</v>
      </c>
      <c r="H57" s="228">
        <f t="shared" si="43"/>
        <v>280</v>
      </c>
      <c r="I57" s="194">
        <v>0</v>
      </c>
      <c r="J57" s="194">
        <f>SUMIFS('Cashbook Wix'!$B$2:$B$7106,'Cashbook Wix'!$A$2:$A$7106,"PT_")</f>
        <v>0</v>
      </c>
      <c r="K57" s="194">
        <v>0</v>
      </c>
      <c r="L57" s="145">
        <f t="shared" si="45"/>
        <v>0</v>
      </c>
      <c r="M57" s="231">
        <f t="shared" si="44"/>
        <v>-280</v>
      </c>
      <c r="N57" s="270"/>
      <c r="O57" s="358"/>
      <c r="P57" s="358"/>
      <c r="Q57" s="358"/>
      <c r="R57" s="358"/>
      <c r="S57" s="358"/>
      <c r="T57" s="358"/>
      <c r="U57" s="358"/>
      <c r="V57" s="358"/>
      <c r="W57" s="358"/>
      <c r="X57" s="358"/>
      <c r="Y57" s="358"/>
      <c r="Z57" s="358"/>
      <c r="AA57" s="358"/>
      <c r="AB57" s="358"/>
    </row>
    <row r="58" spans="1:28" ht="27.75" customHeight="1" x14ac:dyDescent="0.3">
      <c r="A58" s="671"/>
      <c r="B58" s="377" t="s">
        <v>511</v>
      </c>
      <c r="C58" s="378">
        <f t="shared" ref="C58:D58" si="47">SUM(C52:C57)</f>
        <v>3686.81</v>
      </c>
      <c r="D58" s="379">
        <f t="shared" si="47"/>
        <v>150</v>
      </c>
      <c r="E58" s="378">
        <v>0</v>
      </c>
      <c r="F58" s="378">
        <f t="shared" ref="F58:J58" si="48">SUM(F52:F57)</f>
        <v>1710</v>
      </c>
      <c r="G58" s="378">
        <f t="shared" si="48"/>
        <v>0</v>
      </c>
      <c r="H58" s="380">
        <f t="shared" si="48"/>
        <v>-1976.81</v>
      </c>
      <c r="I58" s="378">
        <f t="shared" si="48"/>
        <v>0</v>
      </c>
      <c r="J58" s="378">
        <f t="shared" si="48"/>
        <v>0</v>
      </c>
      <c r="K58" s="378">
        <f>SUM(K52)</f>
        <v>0</v>
      </c>
      <c r="L58" s="380">
        <f t="shared" ref="L58:M58" si="49">SUM(L52:L57)</f>
        <v>0</v>
      </c>
      <c r="M58" s="381">
        <f t="shared" si="49"/>
        <v>1976.81</v>
      </c>
      <c r="N58" s="270"/>
      <c r="O58" s="358"/>
      <c r="P58" s="358"/>
      <c r="Q58" s="358"/>
      <c r="R58" s="358"/>
      <c r="S58" s="358"/>
      <c r="T58" s="358"/>
      <c r="U58" s="358"/>
      <c r="V58" s="358"/>
      <c r="W58" s="358"/>
      <c r="X58" s="358"/>
      <c r="Y58" s="358"/>
      <c r="Z58" s="358"/>
      <c r="AA58" s="358"/>
      <c r="AB58" s="358"/>
    </row>
    <row r="59" spans="1:28" ht="27.75" customHeight="1" x14ac:dyDescent="0.35">
      <c r="A59" s="382"/>
      <c r="B59" s="383" t="s">
        <v>450</v>
      </c>
      <c r="C59" s="266">
        <f t="shared" ref="C59:M59" si="50">SUM(C51+C37+C33+C26+C18+C58+C43+C11)</f>
        <v>16996.809999999998</v>
      </c>
      <c r="D59" s="266">
        <f t="shared" si="50"/>
        <v>1320</v>
      </c>
      <c r="E59" s="266">
        <f t="shared" si="50"/>
        <v>0</v>
      </c>
      <c r="F59" s="266">
        <f t="shared" si="50"/>
        <v>13175</v>
      </c>
      <c r="G59" s="266">
        <f t="shared" si="50"/>
        <v>0</v>
      </c>
      <c r="H59" s="266">
        <f t="shared" si="50"/>
        <v>-3821.81</v>
      </c>
      <c r="I59" s="266">
        <f t="shared" si="50"/>
        <v>-2397.16</v>
      </c>
      <c r="J59" s="266">
        <f t="shared" si="50"/>
        <v>2483.0300000000016</v>
      </c>
      <c r="K59" s="266">
        <f t="shared" si="50"/>
        <v>0</v>
      </c>
      <c r="L59" s="266">
        <f t="shared" si="50"/>
        <v>85.870000000001369</v>
      </c>
      <c r="M59" s="266">
        <f t="shared" si="50"/>
        <v>3907.6800000000021</v>
      </c>
      <c r="N59" s="270"/>
      <c r="O59" s="358"/>
      <c r="P59" s="358"/>
      <c r="Q59" s="358"/>
      <c r="R59" s="358"/>
      <c r="S59" s="358"/>
      <c r="T59" s="358"/>
      <c r="U59" s="358"/>
      <c r="V59" s="358"/>
      <c r="W59" s="358"/>
      <c r="X59" s="358"/>
      <c r="Y59" s="358"/>
      <c r="Z59" s="358"/>
      <c r="AA59" s="358"/>
      <c r="AB59" s="358"/>
    </row>
    <row r="60" spans="1:28" ht="27.75" customHeight="1" x14ac:dyDescent="0.2">
      <c r="A60" s="270"/>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row>
    <row r="61" spans="1:28" ht="27.75" customHeight="1" x14ac:dyDescent="0.2">
      <c r="A61" s="270"/>
      <c r="B61" s="270"/>
      <c r="C61" s="270"/>
      <c r="D61" s="270"/>
      <c r="E61" s="270"/>
      <c r="F61" s="270"/>
      <c r="G61" s="270"/>
      <c r="H61" s="270"/>
      <c r="I61" s="270"/>
      <c r="J61" s="270"/>
      <c r="K61" s="270"/>
      <c r="L61" s="270"/>
      <c r="M61" s="270"/>
      <c r="N61" s="358"/>
      <c r="O61" s="358"/>
      <c r="P61" s="358"/>
      <c r="Q61" s="358"/>
      <c r="R61" s="358"/>
      <c r="S61" s="358"/>
      <c r="T61" s="358"/>
      <c r="U61" s="358"/>
      <c r="V61" s="358"/>
      <c r="W61" s="358"/>
      <c r="X61" s="358"/>
      <c r="Y61" s="358"/>
      <c r="Z61" s="358"/>
      <c r="AA61" s="358"/>
      <c r="AB61" s="358"/>
    </row>
    <row r="62" spans="1:28" ht="27.75" customHeight="1" x14ac:dyDescent="0.2">
      <c r="A62" s="270"/>
      <c r="B62" s="270"/>
      <c r="C62" s="270"/>
      <c r="D62" s="270"/>
      <c r="E62" s="270"/>
      <c r="F62" s="270"/>
      <c r="G62" s="270"/>
      <c r="H62" s="270"/>
      <c r="I62" s="270"/>
      <c r="J62" s="270"/>
      <c r="K62" s="270"/>
      <c r="L62" s="270"/>
      <c r="M62" s="270"/>
      <c r="N62" s="358"/>
      <c r="O62" s="358"/>
      <c r="P62" s="358"/>
      <c r="Q62" s="358"/>
      <c r="R62" s="358"/>
      <c r="S62" s="358"/>
      <c r="T62" s="358"/>
      <c r="U62" s="358"/>
      <c r="V62" s="358"/>
      <c r="W62" s="358"/>
      <c r="X62" s="358"/>
      <c r="Y62" s="358"/>
      <c r="Z62" s="358"/>
      <c r="AA62" s="358"/>
      <c r="AB62" s="358"/>
    </row>
    <row r="63" spans="1:28" ht="27.75" customHeight="1" x14ac:dyDescent="0.2">
      <c r="A63" s="270"/>
      <c r="B63" s="270"/>
      <c r="C63" s="270"/>
      <c r="D63" s="270"/>
      <c r="E63" s="270"/>
      <c r="F63" s="270"/>
      <c r="G63" s="270"/>
      <c r="H63" s="270"/>
      <c r="I63" s="270"/>
      <c r="J63" s="270"/>
      <c r="K63" s="270"/>
      <c r="L63" s="270"/>
      <c r="M63" s="270"/>
      <c r="N63" s="358"/>
      <c r="O63" s="358"/>
      <c r="P63" s="358"/>
      <c r="Q63" s="358"/>
      <c r="R63" s="358"/>
      <c r="S63" s="358"/>
      <c r="T63" s="358"/>
      <c r="U63" s="358"/>
      <c r="V63" s="358"/>
      <c r="W63" s="358"/>
      <c r="X63" s="358"/>
      <c r="Y63" s="358"/>
      <c r="Z63" s="358"/>
      <c r="AA63" s="358"/>
      <c r="AB63" s="358"/>
    </row>
    <row r="64" spans="1:28" ht="27.75" customHeight="1" x14ac:dyDescent="0.2">
      <c r="A64" s="270"/>
      <c r="B64" s="270"/>
      <c r="C64" s="270"/>
      <c r="D64" s="270"/>
      <c r="E64" s="270"/>
      <c r="F64" s="270"/>
      <c r="G64" s="270"/>
      <c r="H64" s="270"/>
      <c r="I64" s="270"/>
      <c r="J64" s="270"/>
      <c r="K64" s="270"/>
      <c r="L64" s="270"/>
      <c r="M64" s="270"/>
      <c r="N64" s="358"/>
      <c r="O64" s="358"/>
      <c r="P64" s="358"/>
      <c r="Q64" s="358"/>
      <c r="R64" s="358"/>
      <c r="S64" s="358"/>
      <c r="T64" s="358"/>
      <c r="U64" s="358"/>
      <c r="V64" s="358"/>
      <c r="W64" s="358"/>
      <c r="X64" s="358"/>
      <c r="Y64" s="358"/>
      <c r="Z64" s="358"/>
      <c r="AA64" s="358"/>
      <c r="AB64" s="358"/>
    </row>
    <row r="65" spans="1:28" ht="27.75" customHeight="1" x14ac:dyDescent="0.2">
      <c r="A65" s="270"/>
      <c r="B65" s="270"/>
      <c r="C65" s="270"/>
      <c r="D65" s="270"/>
      <c r="E65" s="270"/>
      <c r="F65" s="270"/>
      <c r="G65" s="270"/>
      <c r="H65" s="270"/>
      <c r="I65" s="270"/>
      <c r="J65" s="270"/>
      <c r="K65" s="270"/>
      <c r="L65" s="270"/>
      <c r="M65" s="270"/>
      <c r="N65" s="358"/>
      <c r="O65" s="358"/>
      <c r="P65" s="358"/>
      <c r="Q65" s="358"/>
      <c r="R65" s="358"/>
      <c r="S65" s="358"/>
      <c r="T65" s="358"/>
      <c r="U65" s="358"/>
      <c r="V65" s="358"/>
      <c r="W65" s="358"/>
      <c r="X65" s="358"/>
      <c r="Y65" s="358"/>
      <c r="Z65" s="358"/>
      <c r="AA65" s="358"/>
      <c r="AB65" s="358"/>
    </row>
    <row r="66" spans="1:28" ht="27.75" customHeight="1" x14ac:dyDescent="0.2">
      <c r="A66" s="270"/>
      <c r="B66" s="270"/>
      <c r="C66" s="270"/>
      <c r="D66" s="270"/>
      <c r="E66" s="270"/>
      <c r="F66" s="270"/>
      <c r="G66" s="270"/>
      <c r="H66" s="270"/>
      <c r="I66" s="270"/>
      <c r="J66" s="270"/>
      <c r="K66" s="270"/>
      <c r="L66" s="270"/>
      <c r="M66" s="270"/>
      <c r="N66" s="358"/>
      <c r="O66" s="358"/>
      <c r="P66" s="358"/>
      <c r="Q66" s="358"/>
      <c r="R66" s="358"/>
      <c r="S66" s="358"/>
      <c r="T66" s="358"/>
      <c r="U66" s="358"/>
      <c r="V66" s="358"/>
      <c r="W66" s="358"/>
      <c r="X66" s="358"/>
      <c r="Y66" s="358"/>
      <c r="Z66" s="358"/>
      <c r="AA66" s="358"/>
      <c r="AB66" s="358"/>
    </row>
    <row r="67" spans="1:28" ht="27.75" customHeight="1" x14ac:dyDescent="0.2">
      <c r="A67" s="270"/>
      <c r="B67" s="270"/>
      <c r="C67" s="270"/>
      <c r="D67" s="270"/>
      <c r="E67" s="270"/>
      <c r="F67" s="270"/>
      <c r="G67" s="270"/>
      <c r="H67" s="270"/>
      <c r="I67" s="270"/>
      <c r="J67" s="270"/>
      <c r="K67" s="270"/>
      <c r="L67" s="270"/>
      <c r="M67" s="270"/>
      <c r="N67" s="358"/>
      <c r="O67" s="358"/>
      <c r="P67" s="358"/>
      <c r="Q67" s="358"/>
      <c r="R67" s="358"/>
      <c r="S67" s="358"/>
      <c r="T67" s="358"/>
      <c r="U67" s="358"/>
      <c r="V67" s="358"/>
      <c r="W67" s="358"/>
      <c r="X67" s="358"/>
      <c r="Y67" s="358"/>
      <c r="Z67" s="358"/>
      <c r="AA67" s="358"/>
      <c r="AB67" s="358"/>
    </row>
    <row r="68" spans="1:28" ht="27.75" customHeight="1" x14ac:dyDescent="0.3">
      <c r="A68" s="63"/>
      <c r="B68" s="178"/>
      <c r="C68" s="178"/>
      <c r="D68" s="384"/>
      <c r="E68" s="178"/>
      <c r="F68" s="178"/>
      <c r="G68" s="178"/>
      <c r="H68" s="385"/>
      <c r="I68" s="386"/>
      <c r="J68" s="386"/>
      <c r="K68" s="386"/>
      <c r="L68" s="178"/>
      <c r="M68" s="385"/>
      <c r="N68" s="358"/>
      <c r="O68" s="358"/>
      <c r="P68" s="358"/>
      <c r="Q68" s="358"/>
      <c r="R68" s="358"/>
      <c r="S68" s="358"/>
      <c r="T68" s="358"/>
      <c r="U68" s="358"/>
      <c r="V68" s="358"/>
      <c r="W68" s="358"/>
      <c r="X68" s="358"/>
      <c r="Y68" s="358"/>
      <c r="Z68" s="358"/>
      <c r="AA68" s="358"/>
      <c r="AB68" s="358"/>
    </row>
    <row r="69" spans="1:28" ht="27.75" customHeight="1" x14ac:dyDescent="0.3">
      <c r="A69" s="63"/>
      <c r="B69" s="659" t="s">
        <v>612</v>
      </c>
      <c r="C69" s="359" t="s">
        <v>516</v>
      </c>
      <c r="D69" s="360">
        <v>1500</v>
      </c>
      <c r="E69" s="361">
        <v>0</v>
      </c>
      <c r="F69" s="362">
        <v>0</v>
      </c>
      <c r="G69" s="362">
        <f t="shared" ref="G69:G70" si="51">F69*E69</f>
        <v>0</v>
      </c>
      <c r="H69" s="362">
        <v>0</v>
      </c>
      <c r="I69" s="363">
        <f t="shared" ref="I69:I75" si="52">G69+H69-D69</f>
        <v>-1500</v>
      </c>
      <c r="J69" s="360">
        <f>SUMIFS('Cashbook ING'!$B:$B, 'Cashbook ING'!$A:$A, "PT_")</f>
        <v>0</v>
      </c>
      <c r="K69" s="362">
        <v>0</v>
      </c>
      <c r="L69" s="362">
        <v>0</v>
      </c>
      <c r="M69" s="364">
        <f t="shared" ref="M69:M75" si="53">K69+L69-J69</f>
        <v>0</v>
      </c>
      <c r="N69" s="387">
        <f t="shared" ref="N69:N75" si="54">M69-I69</f>
        <v>1500</v>
      </c>
      <c r="O69" s="358"/>
      <c r="P69" s="358"/>
      <c r="Q69" s="358"/>
      <c r="R69" s="358"/>
      <c r="S69" s="358"/>
      <c r="T69" s="358"/>
      <c r="U69" s="358"/>
      <c r="V69" s="358"/>
      <c r="W69" s="358"/>
      <c r="X69" s="358"/>
      <c r="Y69" s="358"/>
      <c r="Z69" s="358"/>
      <c r="AA69" s="358"/>
      <c r="AB69" s="358"/>
    </row>
    <row r="70" spans="1:28" ht="27.75" customHeight="1" x14ac:dyDescent="0.3">
      <c r="A70" s="388"/>
      <c r="B70" s="660"/>
      <c r="C70" s="365" t="s">
        <v>517</v>
      </c>
      <c r="D70" s="195">
        <v>1500</v>
      </c>
      <c r="E70" s="143">
        <v>0</v>
      </c>
      <c r="F70" s="194">
        <v>0</v>
      </c>
      <c r="G70" s="194">
        <f t="shared" si="51"/>
        <v>0</v>
      </c>
      <c r="H70" s="194">
        <v>0</v>
      </c>
      <c r="I70" s="228">
        <f t="shared" si="52"/>
        <v>-1500</v>
      </c>
      <c r="J70" s="195">
        <f>SUMIFS('Cashbook ING'!$B:$B, 'Cashbook ING'!$A:$A, "PT_")</f>
        <v>0</v>
      </c>
      <c r="K70" s="194">
        <v>0</v>
      </c>
      <c r="L70" s="194">
        <v>0</v>
      </c>
      <c r="M70" s="145">
        <f t="shared" si="53"/>
        <v>0</v>
      </c>
      <c r="N70" s="231">
        <f t="shared" si="54"/>
        <v>1500</v>
      </c>
      <c r="O70" s="358"/>
      <c r="P70" s="358"/>
      <c r="Q70" s="358"/>
      <c r="R70" s="358"/>
      <c r="S70" s="358"/>
      <c r="T70" s="358"/>
      <c r="U70" s="358"/>
      <c r="V70" s="358"/>
      <c r="W70" s="358"/>
      <c r="X70" s="358"/>
      <c r="Y70" s="358"/>
      <c r="Z70" s="358"/>
      <c r="AA70" s="358"/>
      <c r="AB70" s="358"/>
    </row>
    <row r="71" spans="1:28" ht="27.75" customHeight="1" x14ac:dyDescent="0.3">
      <c r="A71" s="388"/>
      <c r="B71" s="660"/>
      <c r="C71" s="365" t="s">
        <v>522</v>
      </c>
      <c r="D71" s="195">
        <v>250</v>
      </c>
      <c r="E71" s="143">
        <v>0</v>
      </c>
      <c r="F71" s="194">
        <v>0</v>
      </c>
      <c r="G71" s="194">
        <v>0</v>
      </c>
      <c r="H71" s="194">
        <v>0</v>
      </c>
      <c r="I71" s="228">
        <f t="shared" si="52"/>
        <v>-250</v>
      </c>
      <c r="J71" s="195">
        <f>SUMIFS('Cashbook ING'!$B:$B, 'Cashbook ING'!$A:$A, "PT_")</f>
        <v>0</v>
      </c>
      <c r="K71" s="194">
        <v>0</v>
      </c>
      <c r="L71" s="194">
        <v>0</v>
      </c>
      <c r="M71" s="145">
        <f t="shared" si="53"/>
        <v>0</v>
      </c>
      <c r="N71" s="231">
        <f t="shared" si="54"/>
        <v>250</v>
      </c>
      <c r="O71" s="358"/>
      <c r="P71" s="358"/>
      <c r="Q71" s="358"/>
      <c r="R71" s="358"/>
      <c r="S71" s="358"/>
      <c r="T71" s="358"/>
      <c r="U71" s="358"/>
      <c r="V71" s="358"/>
      <c r="W71" s="358"/>
      <c r="X71" s="358"/>
      <c r="Y71" s="358"/>
      <c r="Z71" s="358"/>
      <c r="AA71" s="358"/>
      <c r="AB71" s="358"/>
    </row>
    <row r="72" spans="1:28" ht="27.75" customHeight="1" x14ac:dyDescent="0.3">
      <c r="A72" s="388"/>
      <c r="B72" s="660"/>
      <c r="C72" s="365" t="s">
        <v>523</v>
      </c>
      <c r="D72" s="195">
        <v>0</v>
      </c>
      <c r="E72" s="143">
        <v>0</v>
      </c>
      <c r="F72" s="194">
        <v>0</v>
      </c>
      <c r="G72" s="194">
        <f>3350 - 1000</f>
        <v>2350</v>
      </c>
      <c r="H72" s="194">
        <v>0</v>
      </c>
      <c r="I72" s="228">
        <f t="shared" si="52"/>
        <v>2350</v>
      </c>
      <c r="J72" s="195">
        <f>SUMIFS('Cashbook ING'!$B:$B, 'Cashbook ING'!$A:$A, "PT_")</f>
        <v>0</v>
      </c>
      <c r="K72" s="194">
        <v>0</v>
      </c>
      <c r="L72" s="194">
        <v>0</v>
      </c>
      <c r="M72" s="145">
        <f t="shared" si="53"/>
        <v>0</v>
      </c>
      <c r="N72" s="231">
        <f t="shared" si="54"/>
        <v>-2350</v>
      </c>
      <c r="O72" s="358"/>
      <c r="P72" s="358"/>
      <c r="Q72" s="358"/>
      <c r="R72" s="358"/>
      <c r="S72" s="358"/>
      <c r="T72" s="358"/>
      <c r="U72" s="358"/>
      <c r="V72" s="358"/>
      <c r="W72" s="358"/>
      <c r="X72" s="358"/>
      <c r="Y72" s="358"/>
      <c r="Z72" s="358"/>
      <c r="AA72" s="358"/>
      <c r="AB72" s="358"/>
    </row>
    <row r="73" spans="1:28" ht="27.75" customHeight="1" x14ac:dyDescent="0.3">
      <c r="A73" s="388"/>
      <c r="B73" s="660"/>
      <c r="C73" s="365" t="s">
        <v>524</v>
      </c>
      <c r="D73" s="258">
        <v>200</v>
      </c>
      <c r="E73" s="143">
        <v>0</v>
      </c>
      <c r="F73" s="194">
        <v>0</v>
      </c>
      <c r="G73" s="194">
        <f t="shared" ref="G73:G75" si="55">F73*E73</f>
        <v>0</v>
      </c>
      <c r="H73" s="194">
        <v>0</v>
      </c>
      <c r="I73" s="228">
        <f t="shared" si="52"/>
        <v>-200</v>
      </c>
      <c r="J73" s="195">
        <f>SUMIFS('Cashbook ING'!$B:$B, 'Cashbook ING'!$A:$A, "PT_")</f>
        <v>0</v>
      </c>
      <c r="K73" s="194">
        <v>0</v>
      </c>
      <c r="L73" s="194">
        <v>0</v>
      </c>
      <c r="M73" s="145">
        <f t="shared" si="53"/>
        <v>0</v>
      </c>
      <c r="N73" s="231">
        <f t="shared" si="54"/>
        <v>200</v>
      </c>
      <c r="O73" s="358"/>
      <c r="P73" s="358"/>
      <c r="Q73" s="358"/>
      <c r="R73" s="358"/>
      <c r="S73" s="358"/>
      <c r="T73" s="358"/>
      <c r="U73" s="358"/>
      <c r="V73" s="358"/>
      <c r="W73" s="358"/>
      <c r="X73" s="358"/>
      <c r="Y73" s="358"/>
      <c r="Z73" s="358"/>
      <c r="AA73" s="358"/>
      <c r="AB73" s="358"/>
    </row>
    <row r="74" spans="1:28" ht="27.75" customHeight="1" x14ac:dyDescent="0.3">
      <c r="A74" s="388"/>
      <c r="B74" s="660"/>
      <c r="C74" s="365" t="s">
        <v>509</v>
      </c>
      <c r="D74" s="195">
        <v>0</v>
      </c>
      <c r="E74" s="143">
        <v>120</v>
      </c>
      <c r="F74" s="194">
        <v>7</v>
      </c>
      <c r="G74" s="194">
        <f t="shared" si="55"/>
        <v>840</v>
      </c>
      <c r="H74" s="194">
        <v>0</v>
      </c>
      <c r="I74" s="228">
        <f t="shared" si="52"/>
        <v>840</v>
      </c>
      <c r="J74" s="195">
        <f>SUMIFS('Cashbook ING'!$B:$B, 'Cashbook ING'!$A:$A, "PT_")</f>
        <v>0</v>
      </c>
      <c r="K74" s="194">
        <f>SUMIFS('Cashbook Wix'!$B$2:$B$7106,'Cashbook Wix'!$A$2:$A$7106,"PT_")</f>
        <v>0</v>
      </c>
      <c r="L74" s="194">
        <v>0</v>
      </c>
      <c r="M74" s="145">
        <f t="shared" si="53"/>
        <v>0</v>
      </c>
      <c r="N74" s="231">
        <f t="shared" si="54"/>
        <v>-840</v>
      </c>
      <c r="O74" s="358"/>
      <c r="P74" s="358"/>
      <c r="Q74" s="358"/>
      <c r="R74" s="358"/>
      <c r="S74" s="358"/>
      <c r="T74" s="358"/>
      <c r="U74" s="358"/>
      <c r="V74" s="358"/>
      <c r="W74" s="358"/>
      <c r="X74" s="358"/>
      <c r="Y74" s="358"/>
      <c r="Z74" s="358"/>
      <c r="AA74" s="358"/>
      <c r="AB74" s="358"/>
    </row>
    <row r="75" spans="1:28" ht="27.75" customHeight="1" x14ac:dyDescent="0.3">
      <c r="A75" s="388"/>
      <c r="B75" s="660"/>
      <c r="C75" s="365" t="s">
        <v>510</v>
      </c>
      <c r="D75" s="195">
        <v>0</v>
      </c>
      <c r="E75" s="143">
        <v>20</v>
      </c>
      <c r="F75" s="194">
        <v>9</v>
      </c>
      <c r="G75" s="194">
        <f t="shared" si="55"/>
        <v>180</v>
      </c>
      <c r="H75" s="194">
        <v>0</v>
      </c>
      <c r="I75" s="228">
        <f t="shared" si="52"/>
        <v>180</v>
      </c>
      <c r="J75" s="195">
        <v>0</v>
      </c>
      <c r="K75" s="194">
        <f>SUMIFS('Cashbook Wix'!$B$2:$B$7106,'Cashbook Wix'!$A$2:$A$7106,"PT_")</f>
        <v>0</v>
      </c>
      <c r="L75" s="194">
        <v>0</v>
      </c>
      <c r="M75" s="145">
        <f t="shared" si="53"/>
        <v>0</v>
      </c>
      <c r="N75" s="231">
        <f t="shared" si="54"/>
        <v>-180</v>
      </c>
      <c r="O75" s="358"/>
      <c r="P75" s="358"/>
      <c r="Q75" s="358"/>
      <c r="R75" s="358"/>
      <c r="S75" s="358"/>
      <c r="T75" s="358"/>
      <c r="U75" s="358"/>
      <c r="V75" s="358"/>
      <c r="W75" s="358"/>
      <c r="X75" s="358"/>
      <c r="Y75" s="358"/>
      <c r="Z75" s="358"/>
      <c r="AA75" s="358"/>
      <c r="AB75" s="358"/>
    </row>
    <row r="76" spans="1:28" ht="27.75" customHeight="1" x14ac:dyDescent="0.3">
      <c r="A76" s="388"/>
      <c r="B76" s="661"/>
      <c r="C76" s="389" t="s">
        <v>511</v>
      </c>
      <c r="D76" s="260">
        <f t="shared" ref="D76:E76" si="56">SUM(D69:D75)</f>
        <v>3450</v>
      </c>
      <c r="E76" s="261">
        <f t="shared" si="56"/>
        <v>140</v>
      </c>
      <c r="F76" s="262">
        <v>0</v>
      </c>
      <c r="G76" s="263">
        <f t="shared" ref="G76:N76" si="57">SUM(G69:G75)</f>
        <v>3370</v>
      </c>
      <c r="H76" s="262">
        <f t="shared" si="57"/>
        <v>0</v>
      </c>
      <c r="I76" s="264">
        <f t="shared" si="57"/>
        <v>-80</v>
      </c>
      <c r="J76" s="260">
        <f t="shared" si="57"/>
        <v>0</v>
      </c>
      <c r="K76" s="263">
        <f t="shared" si="57"/>
        <v>0</v>
      </c>
      <c r="L76" s="263">
        <f t="shared" si="57"/>
        <v>0</v>
      </c>
      <c r="M76" s="264">
        <f t="shared" si="57"/>
        <v>0</v>
      </c>
      <c r="N76" s="264">
        <f t="shared" si="57"/>
        <v>80</v>
      </c>
      <c r="O76" s="358"/>
      <c r="P76" s="358"/>
      <c r="Q76" s="358"/>
      <c r="R76" s="358"/>
      <c r="S76" s="358"/>
      <c r="T76" s="358"/>
      <c r="U76" s="358"/>
      <c r="V76" s="358"/>
      <c r="W76" s="358"/>
      <c r="X76" s="358"/>
      <c r="Y76" s="358"/>
      <c r="Z76" s="358"/>
      <c r="AA76" s="358"/>
      <c r="AB76" s="358"/>
    </row>
    <row r="77" spans="1:28" ht="27.75" customHeight="1" x14ac:dyDescent="0.2">
      <c r="A77" s="38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row>
    <row r="78" spans="1:28" ht="27.75" customHeight="1" x14ac:dyDescent="0.2">
      <c r="A78" s="388"/>
      <c r="B78" s="358"/>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row>
    <row r="79" spans="1:28" ht="27.75" customHeight="1" x14ac:dyDescent="0.2">
      <c r="A79" s="38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row>
    <row r="80" spans="1:28" ht="14.25" customHeight="1" x14ac:dyDescent="0.2">
      <c r="A80" s="388"/>
      <c r="B80" s="358"/>
      <c r="C80" s="358"/>
      <c r="D80" s="358"/>
      <c r="E80" s="358"/>
      <c r="F80" s="358"/>
      <c r="G80" s="358"/>
      <c r="H80" s="358"/>
      <c r="I80" s="358"/>
      <c r="J80" s="358"/>
      <c r="K80" s="358"/>
      <c r="L80" s="358"/>
      <c r="M80" s="358"/>
      <c r="N80" s="358"/>
      <c r="O80" s="358"/>
      <c r="P80" s="358"/>
      <c r="Q80" s="358"/>
      <c r="R80" s="358"/>
      <c r="S80" s="358"/>
      <c r="T80" s="358"/>
      <c r="U80" s="358"/>
      <c r="V80" s="358"/>
      <c r="W80" s="358"/>
      <c r="X80" s="358"/>
      <c r="Y80" s="358"/>
      <c r="Z80" s="358"/>
      <c r="AA80" s="358"/>
      <c r="AB80" s="358"/>
    </row>
    <row r="81" spans="1:28" ht="14.25" customHeight="1" x14ac:dyDescent="0.2">
      <c r="A81" s="38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row>
    <row r="82" spans="1:28" ht="14.25" customHeight="1" x14ac:dyDescent="0.2">
      <c r="A82" s="388"/>
      <c r="B82" s="358"/>
      <c r="C82" s="358"/>
      <c r="D82" s="358"/>
      <c r="E82" s="358"/>
      <c r="F82" s="358"/>
      <c r="G82" s="358"/>
      <c r="H82" s="358"/>
      <c r="I82" s="358"/>
      <c r="J82" s="358"/>
      <c r="K82" s="358"/>
      <c r="L82" s="358"/>
      <c r="M82" s="358"/>
      <c r="N82" s="358"/>
      <c r="O82" s="358"/>
      <c r="P82" s="358"/>
      <c r="Q82" s="358"/>
      <c r="R82" s="358"/>
      <c r="S82" s="358"/>
      <c r="T82" s="358"/>
      <c r="U82" s="358"/>
      <c r="V82" s="358"/>
      <c r="W82" s="358"/>
      <c r="X82" s="358"/>
      <c r="Y82" s="358"/>
      <c r="Z82" s="358"/>
      <c r="AA82" s="358"/>
      <c r="AB82" s="358"/>
    </row>
    <row r="83" spans="1:28" ht="14.25" customHeight="1" x14ac:dyDescent="0.2">
      <c r="A83" s="38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row>
    <row r="84" spans="1:28" ht="14.25" customHeight="1" x14ac:dyDescent="0.2">
      <c r="A84" s="388"/>
      <c r="B84" s="358"/>
      <c r="C84" s="358"/>
      <c r="D84" s="358"/>
      <c r="E84" s="358"/>
      <c r="F84" s="358"/>
      <c r="G84" s="358"/>
      <c r="H84" s="358"/>
      <c r="I84" s="358"/>
      <c r="J84" s="358"/>
      <c r="K84" s="358"/>
      <c r="L84" s="358"/>
      <c r="M84" s="358"/>
      <c r="N84" s="358"/>
      <c r="O84" s="358"/>
      <c r="P84" s="358"/>
      <c r="Q84" s="358"/>
      <c r="R84" s="358"/>
      <c r="S84" s="358"/>
      <c r="T84" s="358"/>
      <c r="U84" s="358"/>
      <c r="V84" s="358"/>
      <c r="W84" s="358"/>
      <c r="X84" s="358"/>
      <c r="Y84" s="358"/>
      <c r="Z84" s="358"/>
      <c r="AA84" s="358"/>
      <c r="AB84" s="358"/>
    </row>
    <row r="85" spans="1:28" ht="14.25" customHeight="1" x14ac:dyDescent="0.2">
      <c r="A85" s="38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row>
    <row r="86" spans="1:28" ht="14.25" customHeight="1" x14ac:dyDescent="0.2">
      <c r="A86" s="388"/>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row>
    <row r="87" spans="1:28" ht="14.25" customHeight="1" x14ac:dyDescent="0.2">
      <c r="A87" s="38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row>
    <row r="88" spans="1:28" ht="14.25" customHeight="1" x14ac:dyDescent="0.2">
      <c r="A88" s="388"/>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row>
    <row r="89" spans="1:28" ht="14.25" customHeight="1" x14ac:dyDescent="0.2">
      <c r="A89" s="38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row>
    <row r="90" spans="1:28" ht="14.25" customHeight="1" x14ac:dyDescent="0.2">
      <c r="A90" s="388"/>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row>
    <row r="91" spans="1:28" ht="14.25" customHeight="1" x14ac:dyDescent="0.2">
      <c r="A91" s="38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row>
    <row r="92" spans="1:28" ht="14.25" customHeight="1" x14ac:dyDescent="0.2">
      <c r="A92" s="388"/>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row>
    <row r="93" spans="1:28" ht="14.25" customHeight="1" x14ac:dyDescent="0.2">
      <c r="A93" s="38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row>
    <row r="94" spans="1:28" ht="14.25" customHeight="1" x14ac:dyDescent="0.2">
      <c r="A94" s="388"/>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row>
    <row r="95" spans="1:28" ht="14.25" customHeight="1" x14ac:dyDescent="0.2">
      <c r="A95" s="38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row>
    <row r="96" spans="1:28" ht="14.25" customHeight="1" x14ac:dyDescent="0.2">
      <c r="A96" s="388"/>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row>
    <row r="97" spans="1:28" ht="14.25" customHeight="1" x14ac:dyDescent="0.2">
      <c r="A97" s="38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row>
    <row r="98" spans="1:28" ht="14.25" customHeight="1" x14ac:dyDescent="0.2">
      <c r="A98" s="388"/>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row>
    <row r="99" spans="1:28" ht="14.25" customHeight="1" x14ac:dyDescent="0.2">
      <c r="A99" s="38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row>
    <row r="100" spans="1:28" ht="14.25" customHeight="1" x14ac:dyDescent="0.2">
      <c r="A100" s="388"/>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row>
    <row r="101" spans="1:28" ht="14.25" customHeight="1" x14ac:dyDescent="0.2">
      <c r="A101" s="388"/>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row>
    <row r="102" spans="1:28" ht="14.25" customHeight="1" x14ac:dyDescent="0.2">
      <c r="A102" s="388"/>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row>
    <row r="103" spans="1:28" ht="14.25" customHeight="1" x14ac:dyDescent="0.2">
      <c r="A103" s="388"/>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c r="Z103" s="358"/>
      <c r="AA103" s="358"/>
      <c r="AB103" s="358"/>
    </row>
    <row r="104" spans="1:28" ht="14.25" customHeight="1" x14ac:dyDescent="0.2">
      <c r="A104" s="388"/>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row>
    <row r="105" spans="1:28" ht="14.25" customHeight="1" x14ac:dyDescent="0.2">
      <c r="A105" s="388"/>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row>
    <row r="106" spans="1:28" ht="14.25" customHeight="1" x14ac:dyDescent="0.2">
      <c r="A106" s="388"/>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row>
    <row r="107" spans="1:28" ht="14.25" customHeight="1" x14ac:dyDescent="0.2">
      <c r="A107" s="388"/>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row>
    <row r="108" spans="1:28" ht="14.25" customHeight="1" x14ac:dyDescent="0.2">
      <c r="A108" s="388"/>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row>
    <row r="109" spans="1:28" ht="14.25" customHeight="1" x14ac:dyDescent="0.2">
      <c r="A109" s="388"/>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8"/>
      <c r="X109" s="358"/>
      <c r="Y109" s="358"/>
      <c r="Z109" s="358"/>
      <c r="AA109" s="358"/>
      <c r="AB109" s="358"/>
    </row>
    <row r="110" spans="1:28" ht="14.25" customHeight="1" x14ac:dyDescent="0.2">
      <c r="A110" s="388"/>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row>
    <row r="111" spans="1:28" ht="14.25" customHeight="1" x14ac:dyDescent="0.2">
      <c r="A111" s="388"/>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row>
    <row r="112" spans="1:28" ht="14.25" customHeight="1" x14ac:dyDescent="0.2">
      <c r="A112" s="388"/>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row>
    <row r="113" spans="1:28" ht="14.25" customHeight="1" x14ac:dyDescent="0.2">
      <c r="A113" s="388"/>
      <c r="B113" s="358"/>
      <c r="C113" s="358"/>
      <c r="D113" s="358"/>
      <c r="E113" s="358"/>
      <c r="F113" s="358"/>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row>
    <row r="114" spans="1:28" ht="14.25" customHeight="1" x14ac:dyDescent="0.2">
      <c r="A114" s="388"/>
      <c r="B114" s="358"/>
      <c r="C114" s="358"/>
      <c r="D114" s="358"/>
      <c r="E114" s="358"/>
      <c r="F114" s="358"/>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row>
    <row r="115" spans="1:28" ht="14.25" customHeight="1" x14ac:dyDescent="0.2">
      <c r="A115" s="388"/>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8"/>
      <c r="X115" s="358"/>
      <c r="Y115" s="358"/>
      <c r="Z115" s="358"/>
      <c r="AA115" s="358"/>
      <c r="AB115" s="358"/>
    </row>
    <row r="116" spans="1:28" ht="14.25" customHeight="1" x14ac:dyDescent="0.2">
      <c r="A116" s="388"/>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8"/>
      <c r="X116" s="358"/>
      <c r="Y116" s="358"/>
      <c r="Z116" s="358"/>
      <c r="AA116" s="358"/>
      <c r="AB116" s="358"/>
    </row>
    <row r="117" spans="1:28" ht="14.25" customHeight="1" x14ac:dyDescent="0.2">
      <c r="A117" s="388"/>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8"/>
      <c r="X117" s="358"/>
      <c r="Y117" s="358"/>
      <c r="Z117" s="358"/>
      <c r="AA117" s="358"/>
      <c r="AB117" s="358"/>
    </row>
    <row r="118" spans="1:28" ht="14.25" customHeight="1" x14ac:dyDescent="0.2">
      <c r="A118" s="388"/>
      <c r="B118" s="358"/>
      <c r="C118" s="358"/>
      <c r="D118" s="358"/>
      <c r="E118" s="358"/>
      <c r="F118" s="358"/>
      <c r="G118" s="358"/>
      <c r="H118" s="358"/>
      <c r="I118" s="358"/>
      <c r="J118" s="358"/>
      <c r="K118" s="358"/>
      <c r="L118" s="358"/>
      <c r="M118" s="358"/>
      <c r="N118" s="358"/>
      <c r="O118" s="358"/>
      <c r="P118" s="358"/>
      <c r="Q118" s="358"/>
      <c r="R118" s="358"/>
      <c r="S118" s="358"/>
      <c r="T118" s="358"/>
      <c r="U118" s="358"/>
      <c r="V118" s="358"/>
      <c r="W118" s="358"/>
      <c r="X118" s="358"/>
      <c r="Y118" s="358"/>
      <c r="Z118" s="358"/>
      <c r="AA118" s="358"/>
      <c r="AB118" s="358"/>
    </row>
    <row r="119" spans="1:28" ht="14.25" customHeight="1" x14ac:dyDescent="0.2">
      <c r="A119" s="388"/>
      <c r="B119" s="358"/>
      <c r="C119" s="358"/>
      <c r="D119" s="358"/>
      <c r="E119" s="358"/>
      <c r="F119" s="358"/>
      <c r="G119" s="358"/>
      <c r="H119" s="358"/>
      <c r="I119" s="358"/>
      <c r="J119" s="358"/>
      <c r="K119" s="358"/>
      <c r="L119" s="358"/>
      <c r="M119" s="358"/>
      <c r="N119" s="358"/>
      <c r="O119" s="358"/>
      <c r="P119" s="358"/>
      <c r="Q119" s="358"/>
      <c r="R119" s="358"/>
      <c r="S119" s="358"/>
      <c r="T119" s="358"/>
      <c r="U119" s="358"/>
      <c r="V119" s="358"/>
      <c r="W119" s="358"/>
      <c r="X119" s="358"/>
      <c r="Y119" s="358"/>
      <c r="Z119" s="358"/>
      <c r="AA119" s="358"/>
      <c r="AB119" s="358"/>
    </row>
    <row r="120" spans="1:28" ht="14.25" customHeight="1" x14ac:dyDescent="0.2">
      <c r="A120" s="388"/>
      <c r="B120" s="358"/>
      <c r="C120" s="358"/>
      <c r="D120" s="358"/>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358"/>
      <c r="AA120" s="358"/>
      <c r="AB120" s="358"/>
    </row>
    <row r="121" spans="1:28" ht="14.25" customHeight="1" x14ac:dyDescent="0.2">
      <c r="A121" s="388"/>
      <c r="B121" s="358"/>
      <c r="C121" s="358"/>
      <c r="D121" s="358"/>
      <c r="E121" s="358"/>
      <c r="F121" s="358"/>
      <c r="G121" s="358"/>
      <c r="H121" s="358"/>
      <c r="I121" s="358"/>
      <c r="J121" s="358"/>
      <c r="K121" s="358"/>
      <c r="L121" s="358"/>
      <c r="M121" s="358"/>
      <c r="N121" s="358"/>
      <c r="O121" s="358"/>
      <c r="P121" s="358"/>
      <c r="Q121" s="358"/>
      <c r="R121" s="358"/>
      <c r="S121" s="358"/>
      <c r="T121" s="358"/>
      <c r="U121" s="358"/>
      <c r="V121" s="358"/>
      <c r="W121" s="358"/>
      <c r="X121" s="358"/>
      <c r="Y121" s="358"/>
      <c r="Z121" s="358"/>
      <c r="AA121" s="358"/>
      <c r="AB121" s="358"/>
    </row>
    <row r="122" spans="1:28" ht="14.25" customHeight="1" x14ac:dyDescent="0.2">
      <c r="A122" s="388"/>
      <c r="B122" s="358"/>
      <c r="C122" s="358"/>
      <c r="D122" s="358"/>
      <c r="E122" s="358"/>
      <c r="F122" s="358"/>
      <c r="G122" s="358"/>
      <c r="H122" s="358"/>
      <c r="I122" s="358"/>
      <c r="J122" s="358"/>
      <c r="K122" s="358"/>
      <c r="L122" s="358"/>
      <c r="M122" s="358"/>
      <c r="N122" s="358"/>
      <c r="O122" s="358"/>
      <c r="P122" s="358"/>
      <c r="Q122" s="358"/>
      <c r="R122" s="358"/>
      <c r="S122" s="358"/>
      <c r="T122" s="358"/>
      <c r="U122" s="358"/>
      <c r="V122" s="358"/>
      <c r="W122" s="358"/>
      <c r="X122" s="358"/>
      <c r="Y122" s="358"/>
      <c r="Z122" s="358"/>
      <c r="AA122" s="358"/>
      <c r="AB122" s="358"/>
    </row>
    <row r="123" spans="1:28" ht="14.25" customHeight="1" x14ac:dyDescent="0.2">
      <c r="A123" s="388"/>
      <c r="B123" s="358"/>
      <c r="C123" s="358"/>
      <c r="D123" s="358"/>
      <c r="E123" s="358"/>
      <c r="F123" s="358"/>
      <c r="G123" s="358"/>
      <c r="H123" s="358"/>
      <c r="I123" s="358"/>
      <c r="J123" s="358"/>
      <c r="K123" s="358"/>
      <c r="L123" s="358"/>
      <c r="M123" s="358"/>
      <c r="N123" s="358"/>
      <c r="O123" s="358"/>
      <c r="P123" s="358"/>
      <c r="Q123" s="358"/>
      <c r="R123" s="358"/>
      <c r="S123" s="358"/>
      <c r="T123" s="358"/>
      <c r="U123" s="358"/>
      <c r="V123" s="358"/>
      <c r="W123" s="358"/>
      <c r="X123" s="358"/>
      <c r="Y123" s="358"/>
      <c r="Z123" s="358"/>
      <c r="AA123" s="358"/>
      <c r="AB123" s="358"/>
    </row>
    <row r="124" spans="1:28" ht="14.25" customHeight="1" x14ac:dyDescent="0.2">
      <c r="A124" s="388"/>
      <c r="B124" s="358"/>
      <c r="C124" s="358"/>
      <c r="D124" s="358"/>
      <c r="E124" s="358"/>
      <c r="F124" s="358"/>
      <c r="G124" s="358"/>
      <c r="H124" s="358"/>
      <c r="I124" s="358"/>
      <c r="J124" s="358"/>
      <c r="K124" s="358"/>
      <c r="L124" s="358"/>
      <c r="M124" s="358"/>
      <c r="N124" s="358"/>
      <c r="O124" s="358"/>
      <c r="P124" s="358"/>
      <c r="Q124" s="358"/>
      <c r="R124" s="358"/>
      <c r="S124" s="358"/>
      <c r="T124" s="358"/>
      <c r="U124" s="358"/>
      <c r="V124" s="358"/>
      <c r="W124" s="358"/>
      <c r="X124" s="358"/>
      <c r="Y124" s="358"/>
      <c r="Z124" s="358"/>
      <c r="AA124" s="358"/>
      <c r="AB124" s="358"/>
    </row>
    <row r="125" spans="1:28" ht="14.25" customHeight="1" x14ac:dyDescent="0.2">
      <c r="A125" s="388"/>
      <c r="B125" s="358"/>
      <c r="C125" s="358"/>
      <c r="D125" s="358"/>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row>
    <row r="126" spans="1:28" ht="14.25" customHeight="1" x14ac:dyDescent="0.2">
      <c r="A126" s="388"/>
      <c r="B126" s="358"/>
      <c r="C126" s="358"/>
      <c r="D126" s="358"/>
      <c r="E126" s="358"/>
      <c r="F126" s="358"/>
      <c r="G126" s="358"/>
      <c r="H126" s="358"/>
      <c r="I126" s="358"/>
      <c r="J126" s="358"/>
      <c r="K126" s="358"/>
      <c r="L126" s="358"/>
      <c r="M126" s="358"/>
      <c r="N126" s="358"/>
      <c r="O126" s="358"/>
      <c r="P126" s="358"/>
      <c r="Q126" s="358"/>
      <c r="R126" s="358"/>
      <c r="S126" s="358"/>
      <c r="T126" s="358"/>
      <c r="U126" s="358"/>
      <c r="V126" s="358"/>
      <c r="W126" s="358"/>
      <c r="X126" s="358"/>
      <c r="Y126" s="358"/>
      <c r="Z126" s="358"/>
      <c r="AA126" s="358"/>
      <c r="AB126" s="358"/>
    </row>
    <row r="127" spans="1:28" ht="14.25" customHeight="1" x14ac:dyDescent="0.2">
      <c r="A127" s="388"/>
      <c r="B127" s="358"/>
      <c r="C127" s="358"/>
      <c r="D127" s="358"/>
      <c r="E127" s="358"/>
      <c r="F127" s="358"/>
      <c r="G127" s="358"/>
      <c r="H127" s="358"/>
      <c r="I127" s="358"/>
      <c r="J127" s="358"/>
      <c r="K127" s="358"/>
      <c r="L127" s="358"/>
      <c r="M127" s="358"/>
      <c r="N127" s="358"/>
      <c r="O127" s="358"/>
      <c r="P127" s="358"/>
      <c r="Q127" s="358"/>
      <c r="R127" s="358"/>
      <c r="S127" s="358"/>
      <c r="T127" s="358"/>
      <c r="U127" s="358"/>
      <c r="V127" s="358"/>
      <c r="W127" s="358"/>
      <c r="X127" s="358"/>
      <c r="Y127" s="358"/>
      <c r="Z127" s="358"/>
      <c r="AA127" s="358"/>
      <c r="AB127" s="358"/>
    </row>
    <row r="128" spans="1:28" ht="14.25" customHeight="1" x14ac:dyDescent="0.2">
      <c r="A128" s="388"/>
      <c r="B128" s="358"/>
      <c r="C128" s="358"/>
      <c r="D128" s="358"/>
      <c r="E128" s="358"/>
      <c r="F128" s="358"/>
      <c r="G128" s="358"/>
      <c r="H128" s="358"/>
      <c r="I128" s="358"/>
      <c r="J128" s="358"/>
      <c r="K128" s="358"/>
      <c r="L128" s="358"/>
      <c r="M128" s="358"/>
      <c r="N128" s="358"/>
      <c r="O128" s="358"/>
      <c r="P128" s="358"/>
      <c r="Q128" s="358"/>
      <c r="R128" s="358"/>
      <c r="S128" s="358"/>
      <c r="T128" s="358"/>
      <c r="U128" s="358"/>
      <c r="V128" s="358"/>
      <c r="W128" s="358"/>
      <c r="X128" s="358"/>
      <c r="Y128" s="358"/>
      <c r="Z128" s="358"/>
      <c r="AA128" s="358"/>
      <c r="AB128" s="358"/>
    </row>
    <row r="129" spans="1:28" ht="14.25" customHeight="1" x14ac:dyDescent="0.2">
      <c r="A129" s="388"/>
      <c r="B129" s="358"/>
      <c r="C129" s="358"/>
      <c r="D129" s="358"/>
      <c r="E129" s="358"/>
      <c r="F129" s="358"/>
      <c r="G129" s="358"/>
      <c r="H129" s="358"/>
      <c r="I129" s="358"/>
      <c r="J129" s="358"/>
      <c r="K129" s="358"/>
      <c r="L129" s="358"/>
      <c r="M129" s="358"/>
      <c r="N129" s="358"/>
      <c r="O129" s="358"/>
      <c r="P129" s="358"/>
      <c r="Q129" s="358"/>
      <c r="R129" s="358"/>
      <c r="S129" s="358"/>
      <c r="T129" s="358"/>
      <c r="U129" s="358"/>
      <c r="V129" s="358"/>
      <c r="W129" s="358"/>
      <c r="X129" s="358"/>
      <c r="Y129" s="358"/>
      <c r="Z129" s="358"/>
      <c r="AA129" s="358"/>
      <c r="AB129" s="358"/>
    </row>
    <row r="130" spans="1:28" ht="14.25" customHeight="1" x14ac:dyDescent="0.2">
      <c r="A130" s="388"/>
      <c r="B130" s="358"/>
      <c r="C130" s="358"/>
      <c r="D130" s="358"/>
      <c r="E130" s="358"/>
      <c r="F130" s="358"/>
      <c r="G130" s="358"/>
      <c r="H130" s="358"/>
      <c r="I130" s="358"/>
      <c r="J130" s="358"/>
      <c r="K130" s="358"/>
      <c r="L130" s="358"/>
      <c r="M130" s="358"/>
      <c r="N130" s="358"/>
      <c r="O130" s="358"/>
      <c r="P130" s="358"/>
      <c r="Q130" s="358"/>
      <c r="R130" s="358"/>
      <c r="S130" s="358"/>
      <c r="T130" s="358"/>
      <c r="U130" s="358"/>
      <c r="V130" s="358"/>
      <c r="W130" s="358"/>
      <c r="X130" s="358"/>
      <c r="Y130" s="358"/>
      <c r="Z130" s="358"/>
      <c r="AA130" s="358"/>
      <c r="AB130" s="358"/>
    </row>
    <row r="131" spans="1:28" ht="14.25" customHeight="1" x14ac:dyDescent="0.2">
      <c r="A131" s="388"/>
      <c r="B131" s="358"/>
      <c r="C131" s="358"/>
      <c r="D131" s="358"/>
      <c r="E131" s="358"/>
      <c r="F131" s="358"/>
      <c r="G131" s="358"/>
      <c r="H131" s="358"/>
      <c r="I131" s="358"/>
      <c r="J131" s="358"/>
      <c r="K131" s="358"/>
      <c r="L131" s="358"/>
      <c r="M131" s="358"/>
      <c r="N131" s="358"/>
      <c r="O131" s="358"/>
      <c r="P131" s="358"/>
      <c r="Q131" s="358"/>
      <c r="R131" s="358"/>
      <c r="S131" s="358"/>
      <c r="T131" s="358"/>
      <c r="U131" s="358"/>
      <c r="V131" s="358"/>
      <c r="W131" s="358"/>
      <c r="X131" s="358"/>
      <c r="Y131" s="358"/>
      <c r="Z131" s="358"/>
      <c r="AA131" s="358"/>
      <c r="AB131" s="358"/>
    </row>
    <row r="132" spans="1:28" ht="14.25" customHeight="1" x14ac:dyDescent="0.2">
      <c r="A132" s="388"/>
      <c r="B132" s="358"/>
      <c r="C132" s="358"/>
      <c r="D132" s="358"/>
      <c r="E132" s="358"/>
      <c r="F132" s="358"/>
      <c r="G132" s="358"/>
      <c r="H132" s="358"/>
      <c r="I132" s="358"/>
      <c r="J132" s="358"/>
      <c r="K132" s="358"/>
      <c r="L132" s="358"/>
      <c r="M132" s="358"/>
      <c r="N132" s="358"/>
      <c r="O132" s="358"/>
      <c r="P132" s="358"/>
      <c r="Q132" s="358"/>
      <c r="R132" s="358"/>
      <c r="S132" s="358"/>
      <c r="T132" s="358"/>
      <c r="U132" s="358"/>
      <c r="V132" s="358"/>
      <c r="W132" s="358"/>
      <c r="X132" s="358"/>
      <c r="Y132" s="358"/>
      <c r="Z132" s="358"/>
      <c r="AA132" s="358"/>
      <c r="AB132" s="358"/>
    </row>
    <row r="133" spans="1:28" ht="14.25" customHeight="1" x14ac:dyDescent="0.2">
      <c r="A133" s="388"/>
      <c r="B133" s="358"/>
      <c r="C133" s="358"/>
      <c r="D133" s="358"/>
      <c r="E133" s="358"/>
      <c r="F133" s="358"/>
      <c r="G133" s="358"/>
      <c r="H133" s="358"/>
      <c r="I133" s="358"/>
      <c r="J133" s="358"/>
      <c r="K133" s="358"/>
      <c r="L133" s="358"/>
      <c r="M133" s="358"/>
      <c r="N133" s="358"/>
      <c r="O133" s="358"/>
      <c r="P133" s="358"/>
      <c r="Q133" s="358"/>
      <c r="R133" s="358"/>
      <c r="S133" s="358"/>
      <c r="T133" s="358"/>
      <c r="U133" s="358"/>
      <c r="V133" s="358"/>
      <c r="W133" s="358"/>
      <c r="X133" s="358"/>
      <c r="Y133" s="358"/>
      <c r="Z133" s="358"/>
      <c r="AA133" s="358"/>
      <c r="AB133" s="358"/>
    </row>
    <row r="134" spans="1:28" ht="14.25" customHeight="1" x14ac:dyDescent="0.2">
      <c r="A134" s="388"/>
      <c r="B134" s="358"/>
      <c r="C134" s="358"/>
      <c r="D134" s="358"/>
      <c r="E134" s="358"/>
      <c r="F134" s="358"/>
      <c r="G134" s="358"/>
      <c r="H134" s="358"/>
      <c r="I134" s="358"/>
      <c r="J134" s="358"/>
      <c r="K134" s="358"/>
      <c r="L134" s="358"/>
      <c r="M134" s="358"/>
      <c r="N134" s="358"/>
      <c r="O134" s="358"/>
      <c r="P134" s="358"/>
      <c r="Q134" s="358"/>
      <c r="R134" s="358"/>
      <c r="S134" s="358"/>
      <c r="T134" s="358"/>
      <c r="U134" s="358"/>
      <c r="V134" s="358"/>
      <c r="W134" s="358"/>
      <c r="X134" s="358"/>
      <c r="Y134" s="358"/>
      <c r="Z134" s="358"/>
      <c r="AA134" s="358"/>
      <c r="AB134" s="358"/>
    </row>
    <row r="135" spans="1:28" ht="14.25" customHeight="1" x14ac:dyDescent="0.2">
      <c r="A135" s="388"/>
      <c r="B135" s="358"/>
      <c r="C135" s="358"/>
      <c r="D135" s="358"/>
      <c r="E135" s="358"/>
      <c r="F135" s="358"/>
      <c r="G135" s="358"/>
      <c r="H135" s="358"/>
      <c r="I135" s="358"/>
      <c r="J135" s="358"/>
      <c r="K135" s="358"/>
      <c r="L135" s="358"/>
      <c r="M135" s="358"/>
      <c r="N135" s="358"/>
      <c r="O135" s="358"/>
      <c r="P135" s="358"/>
      <c r="Q135" s="358"/>
      <c r="R135" s="358"/>
      <c r="S135" s="358"/>
      <c r="T135" s="358"/>
      <c r="U135" s="358"/>
      <c r="V135" s="358"/>
      <c r="W135" s="358"/>
      <c r="X135" s="358"/>
      <c r="Y135" s="358"/>
      <c r="Z135" s="358"/>
      <c r="AA135" s="358"/>
      <c r="AB135" s="358"/>
    </row>
    <row r="136" spans="1:28" ht="14.25" customHeight="1" x14ac:dyDescent="0.2">
      <c r="A136" s="388"/>
      <c r="B136" s="358"/>
      <c r="C136" s="358"/>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row>
    <row r="137" spans="1:28" ht="14.25" customHeight="1" x14ac:dyDescent="0.2">
      <c r="A137" s="388"/>
      <c r="B137" s="358"/>
      <c r="C137" s="358"/>
      <c r="D137" s="358"/>
      <c r="E137" s="358"/>
      <c r="F137" s="358"/>
      <c r="G137" s="358"/>
      <c r="H137" s="358"/>
      <c r="I137" s="358"/>
      <c r="J137" s="358"/>
      <c r="K137" s="358"/>
      <c r="L137" s="358"/>
      <c r="M137" s="358"/>
      <c r="N137" s="358"/>
      <c r="O137" s="358"/>
      <c r="P137" s="358"/>
      <c r="Q137" s="358"/>
      <c r="R137" s="358"/>
      <c r="S137" s="358"/>
      <c r="T137" s="358"/>
      <c r="U137" s="358"/>
      <c r="V137" s="358"/>
      <c r="W137" s="358"/>
      <c r="X137" s="358"/>
      <c r="Y137" s="358"/>
      <c r="Z137" s="358"/>
      <c r="AA137" s="358"/>
      <c r="AB137" s="358"/>
    </row>
    <row r="138" spans="1:28" ht="14.25" customHeight="1" x14ac:dyDescent="0.2">
      <c r="A138" s="388"/>
      <c r="B138" s="358"/>
      <c r="C138" s="358"/>
      <c r="D138" s="358"/>
      <c r="E138" s="358"/>
      <c r="F138" s="358"/>
      <c r="G138" s="358"/>
      <c r="H138" s="358"/>
      <c r="I138" s="358"/>
      <c r="J138" s="358"/>
      <c r="K138" s="358"/>
      <c r="L138" s="358"/>
      <c r="M138" s="358"/>
      <c r="N138" s="358"/>
      <c r="O138" s="358"/>
      <c r="P138" s="358"/>
      <c r="Q138" s="358"/>
      <c r="R138" s="358"/>
      <c r="S138" s="358"/>
      <c r="T138" s="358"/>
      <c r="U138" s="358"/>
      <c r="V138" s="358"/>
      <c r="W138" s="358"/>
      <c r="X138" s="358"/>
      <c r="Y138" s="358"/>
      <c r="Z138" s="358"/>
      <c r="AA138" s="358"/>
      <c r="AB138" s="358"/>
    </row>
    <row r="139" spans="1:28" ht="14.25" customHeight="1" x14ac:dyDescent="0.2">
      <c r="A139" s="388"/>
      <c r="B139" s="358"/>
      <c r="C139" s="358"/>
      <c r="D139" s="358"/>
      <c r="E139" s="358"/>
      <c r="F139" s="358"/>
      <c r="G139" s="358"/>
      <c r="H139" s="358"/>
      <c r="I139" s="358"/>
      <c r="J139" s="358"/>
      <c r="K139" s="358"/>
      <c r="L139" s="358"/>
      <c r="M139" s="358"/>
      <c r="N139" s="358"/>
      <c r="O139" s="358"/>
      <c r="P139" s="358"/>
      <c r="Q139" s="358"/>
      <c r="R139" s="358"/>
      <c r="S139" s="358"/>
      <c r="T139" s="358"/>
      <c r="U139" s="358"/>
      <c r="V139" s="358"/>
      <c r="W139" s="358"/>
      <c r="X139" s="358"/>
      <c r="Y139" s="358"/>
      <c r="Z139" s="358"/>
      <c r="AA139" s="358"/>
      <c r="AB139" s="358"/>
    </row>
    <row r="140" spans="1:28" ht="14.25" customHeight="1" x14ac:dyDescent="0.2">
      <c r="A140" s="388"/>
      <c r="B140" s="358"/>
      <c r="C140" s="358"/>
      <c r="D140" s="358"/>
      <c r="E140" s="358"/>
      <c r="F140" s="358"/>
      <c r="G140" s="358"/>
      <c r="H140" s="358"/>
      <c r="I140" s="358"/>
      <c r="J140" s="358"/>
      <c r="K140" s="358"/>
      <c r="L140" s="358"/>
      <c r="M140" s="358"/>
      <c r="N140" s="358"/>
      <c r="O140" s="358"/>
      <c r="P140" s="358"/>
      <c r="Q140" s="358"/>
      <c r="R140" s="358"/>
      <c r="S140" s="358"/>
      <c r="T140" s="358"/>
      <c r="U140" s="358"/>
      <c r="V140" s="358"/>
      <c r="W140" s="358"/>
      <c r="X140" s="358"/>
      <c r="Y140" s="358"/>
      <c r="Z140" s="358"/>
      <c r="AA140" s="358"/>
      <c r="AB140" s="358"/>
    </row>
    <row r="141" spans="1:28" ht="14.25" customHeight="1" x14ac:dyDescent="0.2">
      <c r="A141" s="388"/>
      <c r="B141" s="358"/>
      <c r="C141" s="358"/>
      <c r="D141" s="358"/>
      <c r="E141" s="358"/>
      <c r="F141" s="358"/>
      <c r="G141" s="358"/>
      <c r="H141" s="358"/>
      <c r="I141" s="358"/>
      <c r="J141" s="358"/>
      <c r="K141" s="358"/>
      <c r="L141" s="358"/>
      <c r="M141" s="358"/>
      <c r="N141" s="358"/>
      <c r="O141" s="358"/>
      <c r="P141" s="358"/>
      <c r="Q141" s="358"/>
      <c r="R141" s="358"/>
      <c r="S141" s="358"/>
      <c r="T141" s="358"/>
      <c r="U141" s="358"/>
      <c r="V141" s="358"/>
      <c r="W141" s="358"/>
      <c r="X141" s="358"/>
      <c r="Y141" s="358"/>
      <c r="Z141" s="358"/>
      <c r="AA141" s="358"/>
      <c r="AB141" s="358"/>
    </row>
    <row r="142" spans="1:28" ht="14.25" customHeight="1" x14ac:dyDescent="0.2">
      <c r="A142" s="388"/>
      <c r="B142" s="358"/>
      <c r="C142" s="358"/>
      <c r="D142" s="358"/>
      <c r="E142" s="358"/>
      <c r="F142" s="358"/>
      <c r="G142" s="358"/>
      <c r="H142" s="358"/>
      <c r="I142" s="358"/>
      <c r="J142" s="358"/>
      <c r="K142" s="358"/>
      <c r="L142" s="358"/>
      <c r="M142" s="358"/>
      <c r="N142" s="358"/>
      <c r="O142" s="358"/>
      <c r="P142" s="358"/>
      <c r="Q142" s="358"/>
      <c r="R142" s="358"/>
      <c r="S142" s="358"/>
      <c r="T142" s="358"/>
      <c r="U142" s="358"/>
      <c r="V142" s="358"/>
      <c r="W142" s="358"/>
      <c r="X142" s="358"/>
      <c r="Y142" s="358"/>
      <c r="Z142" s="358"/>
      <c r="AA142" s="358"/>
      <c r="AB142" s="358"/>
    </row>
    <row r="143" spans="1:28" ht="14.25" customHeight="1" x14ac:dyDescent="0.2">
      <c r="A143" s="388"/>
      <c r="B143" s="358"/>
      <c r="C143" s="358"/>
      <c r="D143" s="358"/>
      <c r="E143" s="358"/>
      <c r="F143" s="358"/>
      <c r="G143" s="358"/>
      <c r="H143" s="358"/>
      <c r="I143" s="358"/>
      <c r="J143" s="358"/>
      <c r="K143" s="358"/>
      <c r="L143" s="358"/>
      <c r="M143" s="358"/>
      <c r="N143" s="358"/>
      <c r="O143" s="358"/>
      <c r="P143" s="358"/>
      <c r="Q143" s="358"/>
      <c r="R143" s="358"/>
      <c r="S143" s="358"/>
      <c r="T143" s="358"/>
      <c r="U143" s="358"/>
      <c r="V143" s="358"/>
      <c r="W143" s="358"/>
      <c r="X143" s="358"/>
      <c r="Y143" s="358"/>
      <c r="Z143" s="358"/>
      <c r="AA143" s="358"/>
      <c r="AB143" s="358"/>
    </row>
    <row r="144" spans="1:28" ht="14.25" customHeight="1" x14ac:dyDescent="0.2">
      <c r="A144" s="388"/>
      <c r="B144" s="358"/>
      <c r="C144" s="358"/>
      <c r="D144" s="358"/>
      <c r="E144" s="358"/>
      <c r="F144" s="358"/>
      <c r="G144" s="358"/>
      <c r="H144" s="358"/>
      <c r="I144" s="358"/>
      <c r="J144" s="358"/>
      <c r="K144" s="358"/>
      <c r="L144" s="358"/>
      <c r="M144" s="358"/>
      <c r="N144" s="358"/>
      <c r="O144" s="358"/>
      <c r="P144" s="358"/>
      <c r="Q144" s="358"/>
      <c r="R144" s="358"/>
      <c r="S144" s="358"/>
      <c r="T144" s="358"/>
      <c r="U144" s="358"/>
      <c r="V144" s="358"/>
      <c r="W144" s="358"/>
      <c r="X144" s="358"/>
      <c r="Y144" s="358"/>
      <c r="Z144" s="358"/>
      <c r="AA144" s="358"/>
      <c r="AB144" s="358"/>
    </row>
    <row r="145" spans="1:28" ht="14.25" customHeight="1" x14ac:dyDescent="0.2">
      <c r="A145" s="388"/>
      <c r="B145" s="358"/>
      <c r="C145" s="358"/>
      <c r="D145" s="358"/>
      <c r="E145" s="358"/>
      <c r="F145" s="358"/>
      <c r="G145" s="358"/>
      <c r="H145" s="358"/>
      <c r="I145" s="358"/>
      <c r="J145" s="358"/>
      <c r="K145" s="358"/>
      <c r="L145" s="358"/>
      <c r="M145" s="358"/>
      <c r="N145" s="358"/>
      <c r="O145" s="358"/>
      <c r="P145" s="358"/>
      <c r="Q145" s="358"/>
      <c r="R145" s="358"/>
      <c r="S145" s="358"/>
      <c r="T145" s="358"/>
      <c r="U145" s="358"/>
      <c r="V145" s="358"/>
      <c r="W145" s="358"/>
      <c r="X145" s="358"/>
      <c r="Y145" s="358"/>
      <c r="Z145" s="358"/>
      <c r="AA145" s="358"/>
      <c r="AB145" s="358"/>
    </row>
    <row r="146" spans="1:28" ht="14.25" customHeight="1" x14ac:dyDescent="0.2">
      <c r="A146" s="388"/>
      <c r="B146" s="358"/>
      <c r="C146" s="358"/>
      <c r="D146" s="358"/>
      <c r="E146" s="358"/>
      <c r="F146" s="358"/>
      <c r="G146" s="358"/>
      <c r="H146" s="358"/>
      <c r="I146" s="358"/>
      <c r="J146" s="358"/>
      <c r="K146" s="358"/>
      <c r="L146" s="358"/>
      <c r="M146" s="358"/>
      <c r="N146" s="358"/>
      <c r="O146" s="358"/>
      <c r="P146" s="358"/>
      <c r="Q146" s="358"/>
      <c r="R146" s="358"/>
      <c r="S146" s="358"/>
      <c r="T146" s="358"/>
      <c r="U146" s="358"/>
      <c r="V146" s="358"/>
      <c r="W146" s="358"/>
      <c r="X146" s="358"/>
      <c r="Y146" s="358"/>
      <c r="Z146" s="358"/>
      <c r="AA146" s="358"/>
      <c r="AB146" s="358"/>
    </row>
    <row r="147" spans="1:28" ht="14.25" customHeight="1" x14ac:dyDescent="0.2">
      <c r="A147" s="388"/>
      <c r="B147" s="358"/>
      <c r="C147" s="358"/>
      <c r="D147" s="358"/>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row>
    <row r="148" spans="1:28" ht="14.25" customHeight="1" x14ac:dyDescent="0.2">
      <c r="A148" s="388"/>
      <c r="B148" s="358"/>
      <c r="C148" s="358"/>
      <c r="D148" s="358"/>
      <c r="E148" s="358"/>
      <c r="F148" s="358"/>
      <c r="G148" s="358"/>
      <c r="H148" s="358"/>
      <c r="I148" s="358"/>
      <c r="J148" s="358"/>
      <c r="K148" s="358"/>
      <c r="L148" s="358"/>
      <c r="M148" s="358"/>
      <c r="N148" s="358"/>
      <c r="O148" s="358"/>
      <c r="P148" s="358"/>
      <c r="Q148" s="358"/>
      <c r="R148" s="358"/>
      <c r="S148" s="358"/>
      <c r="T148" s="358"/>
      <c r="U148" s="358"/>
      <c r="V148" s="358"/>
      <c r="W148" s="358"/>
      <c r="X148" s="358"/>
      <c r="Y148" s="358"/>
      <c r="Z148" s="358"/>
      <c r="AA148" s="358"/>
      <c r="AB148" s="358"/>
    </row>
    <row r="149" spans="1:28" ht="14.25" customHeight="1" x14ac:dyDescent="0.2">
      <c r="A149" s="388"/>
      <c r="B149" s="358"/>
      <c r="C149" s="358"/>
      <c r="D149" s="358"/>
      <c r="E149" s="358"/>
      <c r="F149" s="358"/>
      <c r="G149" s="358"/>
      <c r="H149" s="358"/>
      <c r="I149" s="358"/>
      <c r="J149" s="358"/>
      <c r="K149" s="358"/>
      <c r="L149" s="358"/>
      <c r="M149" s="358"/>
      <c r="N149" s="358"/>
      <c r="O149" s="358"/>
      <c r="P149" s="358"/>
      <c r="Q149" s="358"/>
      <c r="R149" s="358"/>
      <c r="S149" s="358"/>
      <c r="T149" s="358"/>
      <c r="U149" s="358"/>
      <c r="V149" s="358"/>
      <c r="W149" s="358"/>
      <c r="X149" s="358"/>
      <c r="Y149" s="358"/>
      <c r="Z149" s="358"/>
      <c r="AA149" s="358"/>
      <c r="AB149" s="358"/>
    </row>
    <row r="150" spans="1:28" ht="14.25" customHeight="1" x14ac:dyDescent="0.2">
      <c r="A150" s="388"/>
      <c r="B150" s="358"/>
      <c r="C150" s="358"/>
      <c r="D150" s="358"/>
      <c r="E150" s="358"/>
      <c r="F150" s="358"/>
      <c r="G150" s="358"/>
      <c r="H150" s="358"/>
      <c r="I150" s="358"/>
      <c r="J150" s="358"/>
      <c r="K150" s="358"/>
      <c r="L150" s="358"/>
      <c r="M150" s="358"/>
      <c r="N150" s="358"/>
      <c r="O150" s="358"/>
      <c r="P150" s="358"/>
      <c r="Q150" s="358"/>
      <c r="R150" s="358"/>
      <c r="S150" s="358"/>
      <c r="T150" s="358"/>
      <c r="U150" s="358"/>
      <c r="V150" s="358"/>
      <c r="W150" s="358"/>
      <c r="X150" s="358"/>
      <c r="Y150" s="358"/>
      <c r="Z150" s="358"/>
      <c r="AA150" s="358"/>
      <c r="AB150" s="358"/>
    </row>
    <row r="151" spans="1:28" ht="14.25" customHeight="1" x14ac:dyDescent="0.2">
      <c r="A151" s="388"/>
      <c r="B151" s="358"/>
      <c r="C151" s="358"/>
      <c r="D151" s="358"/>
      <c r="E151" s="358"/>
      <c r="F151" s="358"/>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row>
    <row r="152" spans="1:28" ht="14.25" customHeight="1" x14ac:dyDescent="0.2">
      <c r="A152" s="388"/>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row>
    <row r="153" spans="1:28" ht="14.25" customHeight="1" x14ac:dyDescent="0.2">
      <c r="A153" s="388"/>
      <c r="B153" s="358"/>
      <c r="C153" s="358"/>
      <c r="D153" s="358"/>
      <c r="E153" s="358"/>
      <c r="F153" s="358"/>
      <c r="G153" s="358"/>
      <c r="H153" s="358"/>
      <c r="I153" s="358"/>
      <c r="J153" s="358"/>
      <c r="K153" s="358"/>
      <c r="L153" s="358"/>
      <c r="M153" s="358"/>
      <c r="N153" s="358"/>
      <c r="O153" s="358"/>
      <c r="P153" s="358"/>
      <c r="Q153" s="358"/>
      <c r="R153" s="358"/>
      <c r="S153" s="358"/>
      <c r="T153" s="358"/>
      <c r="U153" s="358"/>
      <c r="V153" s="358"/>
      <c r="W153" s="358"/>
      <c r="X153" s="358"/>
      <c r="Y153" s="358"/>
      <c r="Z153" s="358"/>
      <c r="AA153" s="358"/>
      <c r="AB153" s="358"/>
    </row>
    <row r="154" spans="1:28" ht="14.25" customHeight="1" x14ac:dyDescent="0.2">
      <c r="A154" s="388"/>
      <c r="B154" s="358"/>
      <c r="C154" s="358"/>
      <c r="D154" s="358"/>
      <c r="E154" s="358"/>
      <c r="F154" s="358"/>
      <c r="G154" s="358"/>
      <c r="H154" s="358"/>
      <c r="I154" s="358"/>
      <c r="J154" s="358"/>
      <c r="K154" s="358"/>
      <c r="L154" s="358"/>
      <c r="M154" s="358"/>
      <c r="N154" s="358"/>
      <c r="O154" s="358"/>
      <c r="P154" s="358"/>
      <c r="Q154" s="358"/>
      <c r="R154" s="358"/>
      <c r="S154" s="358"/>
      <c r="T154" s="358"/>
      <c r="U154" s="358"/>
      <c r="V154" s="358"/>
      <c r="W154" s="358"/>
      <c r="X154" s="358"/>
      <c r="Y154" s="358"/>
      <c r="Z154" s="358"/>
      <c r="AA154" s="358"/>
      <c r="AB154" s="358"/>
    </row>
    <row r="155" spans="1:28" ht="14.25" customHeight="1" x14ac:dyDescent="0.2">
      <c r="A155" s="388"/>
      <c r="B155" s="358"/>
      <c r="C155" s="358"/>
      <c r="D155" s="358"/>
      <c r="E155" s="358"/>
      <c r="F155" s="358"/>
      <c r="G155" s="358"/>
      <c r="H155" s="358"/>
      <c r="I155" s="358"/>
      <c r="J155" s="358"/>
      <c r="K155" s="358"/>
      <c r="L155" s="358"/>
      <c r="M155" s="358"/>
      <c r="N155" s="358"/>
      <c r="O155" s="358"/>
      <c r="P155" s="358"/>
      <c r="Q155" s="358"/>
      <c r="R155" s="358"/>
      <c r="S155" s="358"/>
      <c r="T155" s="358"/>
      <c r="U155" s="358"/>
      <c r="V155" s="358"/>
      <c r="W155" s="358"/>
      <c r="X155" s="358"/>
      <c r="Y155" s="358"/>
      <c r="Z155" s="358"/>
      <c r="AA155" s="358"/>
      <c r="AB155" s="358"/>
    </row>
    <row r="156" spans="1:28" ht="14.25" customHeight="1" x14ac:dyDescent="0.2">
      <c r="A156" s="388"/>
      <c r="B156" s="358"/>
      <c r="C156" s="358"/>
      <c r="D156" s="358"/>
      <c r="E156" s="358"/>
      <c r="F156" s="358"/>
      <c r="G156" s="358"/>
      <c r="H156" s="358"/>
      <c r="I156" s="358"/>
      <c r="J156" s="358"/>
      <c r="K156" s="358"/>
      <c r="L156" s="358"/>
      <c r="M156" s="358"/>
      <c r="N156" s="358"/>
      <c r="O156" s="358"/>
      <c r="P156" s="358"/>
      <c r="Q156" s="358"/>
      <c r="R156" s="358"/>
      <c r="S156" s="358"/>
      <c r="T156" s="358"/>
      <c r="U156" s="358"/>
      <c r="V156" s="358"/>
      <c r="W156" s="358"/>
      <c r="X156" s="358"/>
      <c r="Y156" s="358"/>
      <c r="Z156" s="358"/>
      <c r="AA156" s="358"/>
      <c r="AB156" s="358"/>
    </row>
    <row r="157" spans="1:28" ht="14.25" customHeight="1" x14ac:dyDescent="0.2">
      <c r="A157" s="388"/>
      <c r="B157" s="358"/>
      <c r="C157" s="358"/>
      <c r="D157" s="358"/>
      <c r="E157" s="358"/>
      <c r="F157" s="358"/>
      <c r="G157" s="358"/>
      <c r="H157" s="358"/>
      <c r="I157" s="358"/>
      <c r="J157" s="358"/>
      <c r="K157" s="358"/>
      <c r="L157" s="358"/>
      <c r="M157" s="358"/>
      <c r="N157" s="358"/>
      <c r="O157" s="358"/>
      <c r="P157" s="358"/>
      <c r="Q157" s="358"/>
      <c r="R157" s="358"/>
      <c r="S157" s="358"/>
      <c r="T157" s="358"/>
      <c r="U157" s="358"/>
      <c r="V157" s="358"/>
      <c r="W157" s="358"/>
      <c r="X157" s="358"/>
      <c r="Y157" s="358"/>
      <c r="Z157" s="358"/>
      <c r="AA157" s="358"/>
      <c r="AB157" s="358"/>
    </row>
    <row r="158" spans="1:28" ht="14.25" customHeight="1" x14ac:dyDescent="0.2">
      <c r="A158" s="388"/>
      <c r="B158" s="358"/>
      <c r="C158" s="358"/>
      <c r="D158" s="358"/>
      <c r="E158" s="358"/>
      <c r="F158" s="358"/>
      <c r="G158" s="358"/>
      <c r="H158" s="358"/>
      <c r="I158" s="358"/>
      <c r="J158" s="358"/>
      <c r="K158" s="358"/>
      <c r="L158" s="358"/>
      <c r="M158" s="358"/>
      <c r="N158" s="358"/>
      <c r="O158" s="358"/>
      <c r="P158" s="358"/>
      <c r="Q158" s="358"/>
      <c r="R158" s="358"/>
      <c r="S158" s="358"/>
      <c r="T158" s="358"/>
      <c r="U158" s="358"/>
      <c r="V158" s="358"/>
      <c r="W158" s="358"/>
      <c r="X158" s="358"/>
      <c r="Y158" s="358"/>
      <c r="Z158" s="358"/>
      <c r="AA158" s="358"/>
      <c r="AB158" s="358"/>
    </row>
    <row r="159" spans="1:28" ht="14.25" customHeight="1" x14ac:dyDescent="0.2">
      <c r="A159" s="388"/>
      <c r="B159" s="358"/>
      <c r="C159" s="358"/>
      <c r="D159" s="358"/>
      <c r="E159" s="358"/>
      <c r="F159" s="358"/>
      <c r="G159" s="358"/>
      <c r="H159" s="358"/>
      <c r="I159" s="358"/>
      <c r="J159" s="358"/>
      <c r="K159" s="358"/>
      <c r="L159" s="358"/>
      <c r="M159" s="358"/>
      <c r="N159" s="358"/>
      <c r="O159" s="358"/>
      <c r="P159" s="358"/>
      <c r="Q159" s="358"/>
      <c r="R159" s="358"/>
      <c r="S159" s="358"/>
      <c r="T159" s="358"/>
      <c r="U159" s="358"/>
      <c r="V159" s="358"/>
      <c r="W159" s="358"/>
      <c r="X159" s="358"/>
      <c r="Y159" s="358"/>
      <c r="Z159" s="358"/>
      <c r="AA159" s="358"/>
      <c r="AB159" s="358"/>
    </row>
    <row r="160" spans="1:28" ht="14.25" customHeight="1" x14ac:dyDescent="0.2">
      <c r="A160" s="388"/>
      <c r="B160" s="358"/>
      <c r="C160" s="358"/>
      <c r="D160" s="358"/>
      <c r="E160" s="358"/>
      <c r="F160" s="358"/>
      <c r="G160" s="358"/>
      <c r="H160" s="358"/>
      <c r="I160" s="358"/>
      <c r="J160" s="358"/>
      <c r="K160" s="358"/>
      <c r="L160" s="358"/>
      <c r="M160" s="358"/>
      <c r="N160" s="358"/>
      <c r="O160" s="358"/>
      <c r="P160" s="358"/>
      <c r="Q160" s="358"/>
      <c r="R160" s="358"/>
      <c r="S160" s="358"/>
      <c r="T160" s="358"/>
      <c r="U160" s="358"/>
      <c r="V160" s="358"/>
      <c r="W160" s="358"/>
      <c r="X160" s="358"/>
      <c r="Y160" s="358"/>
      <c r="Z160" s="358"/>
      <c r="AA160" s="358"/>
      <c r="AB160" s="358"/>
    </row>
    <row r="161" spans="1:28" ht="14.25" customHeight="1" x14ac:dyDescent="0.2">
      <c r="A161" s="388"/>
      <c r="B161" s="358"/>
      <c r="C161" s="358"/>
      <c r="D161" s="358"/>
      <c r="E161" s="358"/>
      <c r="F161" s="358"/>
      <c r="G161" s="358"/>
      <c r="H161" s="358"/>
      <c r="I161" s="358"/>
      <c r="J161" s="358"/>
      <c r="K161" s="358"/>
      <c r="L161" s="358"/>
      <c r="M161" s="358"/>
      <c r="N161" s="358"/>
      <c r="O161" s="358"/>
      <c r="P161" s="358"/>
      <c r="Q161" s="358"/>
      <c r="R161" s="358"/>
      <c r="S161" s="358"/>
      <c r="T161" s="358"/>
      <c r="U161" s="358"/>
      <c r="V161" s="358"/>
      <c r="W161" s="358"/>
      <c r="X161" s="358"/>
      <c r="Y161" s="358"/>
      <c r="Z161" s="358"/>
      <c r="AA161" s="358"/>
      <c r="AB161" s="358"/>
    </row>
    <row r="162" spans="1:28" ht="14.25" customHeight="1" x14ac:dyDescent="0.2">
      <c r="A162" s="388"/>
      <c r="B162" s="358"/>
      <c r="C162" s="358"/>
      <c r="D162" s="358"/>
      <c r="E162" s="358"/>
      <c r="F162" s="358"/>
      <c r="G162" s="358"/>
      <c r="H162" s="358"/>
      <c r="I162" s="358"/>
      <c r="J162" s="358"/>
      <c r="K162" s="358"/>
      <c r="L162" s="358"/>
      <c r="M162" s="358"/>
      <c r="N162" s="358"/>
      <c r="O162" s="358"/>
      <c r="P162" s="358"/>
      <c r="Q162" s="358"/>
      <c r="R162" s="358"/>
      <c r="S162" s="358"/>
      <c r="T162" s="358"/>
      <c r="U162" s="358"/>
      <c r="V162" s="358"/>
      <c r="W162" s="358"/>
      <c r="X162" s="358"/>
      <c r="Y162" s="358"/>
      <c r="Z162" s="358"/>
      <c r="AA162" s="358"/>
      <c r="AB162" s="358"/>
    </row>
    <row r="163" spans="1:28" ht="14.25" customHeight="1" x14ac:dyDescent="0.2">
      <c r="A163" s="388"/>
      <c r="B163" s="358"/>
      <c r="C163" s="358"/>
      <c r="D163" s="358"/>
      <c r="E163" s="358"/>
      <c r="F163" s="358"/>
      <c r="G163" s="358"/>
      <c r="H163" s="358"/>
      <c r="I163" s="358"/>
      <c r="J163" s="358"/>
      <c r="K163" s="358"/>
      <c r="L163" s="358"/>
      <c r="M163" s="358"/>
      <c r="N163" s="358"/>
      <c r="O163" s="358"/>
      <c r="P163" s="358"/>
      <c r="Q163" s="358"/>
      <c r="R163" s="358"/>
      <c r="S163" s="358"/>
      <c r="T163" s="358"/>
      <c r="U163" s="358"/>
      <c r="V163" s="358"/>
      <c r="W163" s="358"/>
      <c r="X163" s="358"/>
      <c r="Y163" s="358"/>
      <c r="Z163" s="358"/>
      <c r="AA163" s="358"/>
      <c r="AB163" s="358"/>
    </row>
    <row r="164" spans="1:28" ht="14.25" customHeight="1" x14ac:dyDescent="0.2">
      <c r="A164" s="388"/>
      <c r="B164" s="358"/>
      <c r="C164" s="358"/>
      <c r="D164" s="358"/>
      <c r="E164" s="358"/>
      <c r="F164" s="358"/>
      <c r="G164" s="358"/>
      <c r="H164" s="358"/>
      <c r="I164" s="358"/>
      <c r="J164" s="358"/>
      <c r="K164" s="358"/>
      <c r="L164" s="358"/>
      <c r="M164" s="358"/>
      <c r="N164" s="358"/>
      <c r="O164" s="358"/>
      <c r="P164" s="358"/>
      <c r="Q164" s="358"/>
      <c r="R164" s="358"/>
      <c r="S164" s="358"/>
      <c r="T164" s="358"/>
      <c r="U164" s="358"/>
      <c r="V164" s="358"/>
      <c r="W164" s="358"/>
      <c r="X164" s="358"/>
      <c r="Y164" s="358"/>
      <c r="Z164" s="358"/>
      <c r="AA164" s="358"/>
      <c r="AB164" s="358"/>
    </row>
    <row r="165" spans="1:28" ht="14.25" customHeight="1" x14ac:dyDescent="0.2">
      <c r="A165" s="388"/>
      <c r="B165" s="358"/>
      <c r="C165" s="358"/>
      <c r="D165" s="358"/>
      <c r="E165" s="358"/>
      <c r="F165" s="358"/>
      <c r="G165" s="358"/>
      <c r="H165" s="358"/>
      <c r="I165" s="358"/>
      <c r="J165" s="358"/>
      <c r="K165" s="358"/>
      <c r="L165" s="358"/>
      <c r="M165" s="358"/>
      <c r="N165" s="358"/>
      <c r="O165" s="358"/>
      <c r="P165" s="358"/>
      <c r="Q165" s="358"/>
      <c r="R165" s="358"/>
      <c r="S165" s="358"/>
      <c r="T165" s="358"/>
      <c r="U165" s="358"/>
      <c r="V165" s="358"/>
      <c r="W165" s="358"/>
      <c r="X165" s="358"/>
      <c r="Y165" s="358"/>
      <c r="Z165" s="358"/>
      <c r="AA165" s="358"/>
      <c r="AB165" s="358"/>
    </row>
    <row r="166" spans="1:28" ht="14.25" customHeight="1" x14ac:dyDescent="0.2">
      <c r="A166" s="388"/>
      <c r="B166" s="358"/>
      <c r="C166" s="358"/>
      <c r="D166" s="358"/>
      <c r="E166" s="358"/>
      <c r="F166" s="358"/>
      <c r="G166" s="358"/>
      <c r="H166" s="358"/>
      <c r="I166" s="358"/>
      <c r="J166" s="358"/>
      <c r="K166" s="358"/>
      <c r="L166" s="358"/>
      <c r="M166" s="358"/>
      <c r="N166" s="358"/>
      <c r="O166" s="358"/>
      <c r="P166" s="358"/>
      <c r="Q166" s="358"/>
      <c r="R166" s="358"/>
      <c r="S166" s="358"/>
      <c r="T166" s="358"/>
      <c r="U166" s="358"/>
      <c r="V166" s="358"/>
      <c r="W166" s="358"/>
      <c r="X166" s="358"/>
      <c r="Y166" s="358"/>
      <c r="Z166" s="358"/>
      <c r="AA166" s="358"/>
      <c r="AB166" s="358"/>
    </row>
    <row r="167" spans="1:28" ht="14.25" customHeight="1" x14ac:dyDescent="0.2">
      <c r="A167" s="388"/>
      <c r="B167" s="358"/>
      <c r="C167" s="358"/>
      <c r="D167" s="358"/>
      <c r="E167" s="358"/>
      <c r="F167" s="358"/>
      <c r="G167" s="358"/>
      <c r="H167" s="358"/>
      <c r="I167" s="358"/>
      <c r="J167" s="358"/>
      <c r="K167" s="358"/>
      <c r="L167" s="358"/>
      <c r="M167" s="358"/>
      <c r="N167" s="358"/>
      <c r="O167" s="358"/>
      <c r="P167" s="358"/>
      <c r="Q167" s="358"/>
      <c r="R167" s="358"/>
      <c r="S167" s="358"/>
      <c r="T167" s="358"/>
      <c r="U167" s="358"/>
      <c r="V167" s="358"/>
      <c r="W167" s="358"/>
      <c r="X167" s="358"/>
      <c r="Y167" s="358"/>
      <c r="Z167" s="358"/>
      <c r="AA167" s="358"/>
      <c r="AB167" s="358"/>
    </row>
    <row r="168" spans="1:28" ht="14.25" customHeight="1" x14ac:dyDescent="0.2">
      <c r="A168" s="388"/>
      <c r="B168" s="358"/>
      <c r="C168" s="358"/>
      <c r="D168" s="358"/>
      <c r="E168" s="358"/>
      <c r="F168" s="358"/>
      <c r="G168" s="358"/>
      <c r="H168" s="358"/>
      <c r="I168" s="358"/>
      <c r="J168" s="358"/>
      <c r="K168" s="358"/>
      <c r="L168" s="358"/>
      <c r="M168" s="358"/>
      <c r="N168" s="358"/>
      <c r="O168" s="358"/>
      <c r="P168" s="358"/>
      <c r="Q168" s="358"/>
      <c r="R168" s="358"/>
      <c r="S168" s="358"/>
      <c r="T168" s="358"/>
      <c r="U168" s="358"/>
      <c r="V168" s="358"/>
      <c r="W168" s="358"/>
      <c r="X168" s="358"/>
      <c r="Y168" s="358"/>
      <c r="Z168" s="358"/>
      <c r="AA168" s="358"/>
      <c r="AB168" s="358"/>
    </row>
    <row r="169" spans="1:28" ht="14.25" customHeight="1" x14ac:dyDescent="0.2">
      <c r="A169" s="388"/>
      <c r="B169" s="358"/>
      <c r="C169" s="358"/>
      <c r="D169" s="358"/>
      <c r="E169" s="358"/>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row>
    <row r="170" spans="1:28" ht="14.25" customHeight="1" x14ac:dyDescent="0.2">
      <c r="A170" s="388"/>
      <c r="B170" s="358"/>
      <c r="C170" s="358"/>
      <c r="D170" s="358"/>
      <c r="E170" s="358"/>
      <c r="F170" s="358"/>
      <c r="G170" s="358"/>
      <c r="H170" s="358"/>
      <c r="I170" s="358"/>
      <c r="J170" s="358"/>
      <c r="K170" s="358"/>
      <c r="L170" s="358"/>
      <c r="M170" s="358"/>
      <c r="N170" s="358"/>
      <c r="O170" s="358"/>
      <c r="P170" s="358"/>
      <c r="Q170" s="358"/>
      <c r="R170" s="358"/>
      <c r="S170" s="358"/>
      <c r="T170" s="358"/>
      <c r="U170" s="358"/>
      <c r="V170" s="358"/>
      <c r="W170" s="358"/>
      <c r="X170" s="358"/>
      <c r="Y170" s="358"/>
      <c r="Z170" s="358"/>
      <c r="AA170" s="358"/>
      <c r="AB170" s="358"/>
    </row>
    <row r="171" spans="1:28" ht="14.25" customHeight="1" x14ac:dyDescent="0.2">
      <c r="A171" s="388"/>
      <c r="B171" s="358"/>
      <c r="C171" s="358"/>
      <c r="D171" s="358"/>
      <c r="E171" s="358"/>
      <c r="F171" s="358"/>
      <c r="G171" s="358"/>
      <c r="H171" s="358"/>
      <c r="I171" s="358"/>
      <c r="J171" s="358"/>
      <c r="K171" s="358"/>
      <c r="L171" s="358"/>
      <c r="M171" s="358"/>
      <c r="N171" s="358"/>
      <c r="O171" s="358"/>
      <c r="P171" s="358"/>
      <c r="Q171" s="358"/>
      <c r="R171" s="358"/>
      <c r="S171" s="358"/>
      <c r="T171" s="358"/>
      <c r="U171" s="358"/>
      <c r="V171" s="358"/>
      <c r="W171" s="358"/>
      <c r="X171" s="358"/>
      <c r="Y171" s="358"/>
      <c r="Z171" s="358"/>
      <c r="AA171" s="358"/>
      <c r="AB171" s="358"/>
    </row>
    <row r="172" spans="1:28" ht="14.25" customHeight="1" x14ac:dyDescent="0.2">
      <c r="A172" s="388"/>
      <c r="B172" s="358"/>
      <c r="C172" s="358"/>
      <c r="D172" s="358"/>
      <c r="E172" s="358"/>
      <c r="F172" s="358"/>
      <c r="G172" s="358"/>
      <c r="H172" s="358"/>
      <c r="I172" s="358"/>
      <c r="J172" s="358"/>
      <c r="K172" s="358"/>
      <c r="L172" s="358"/>
      <c r="M172" s="358"/>
      <c r="N172" s="358"/>
      <c r="O172" s="358"/>
      <c r="P172" s="358"/>
      <c r="Q172" s="358"/>
      <c r="R172" s="358"/>
      <c r="S172" s="358"/>
      <c r="T172" s="358"/>
      <c r="U172" s="358"/>
      <c r="V172" s="358"/>
      <c r="W172" s="358"/>
      <c r="X172" s="358"/>
      <c r="Y172" s="358"/>
      <c r="Z172" s="358"/>
      <c r="AA172" s="358"/>
      <c r="AB172" s="358"/>
    </row>
    <row r="173" spans="1:28" ht="14.25" customHeight="1" x14ac:dyDescent="0.2">
      <c r="A173" s="388"/>
      <c r="B173" s="358"/>
      <c r="C173" s="358"/>
      <c r="D173" s="358"/>
      <c r="E173" s="358"/>
      <c r="F173" s="358"/>
      <c r="G173" s="358"/>
      <c r="H173" s="358"/>
      <c r="I173" s="358"/>
      <c r="J173" s="358"/>
      <c r="K173" s="358"/>
      <c r="L173" s="358"/>
      <c r="M173" s="358"/>
      <c r="N173" s="358"/>
      <c r="O173" s="358"/>
      <c r="P173" s="358"/>
      <c r="Q173" s="358"/>
      <c r="R173" s="358"/>
      <c r="S173" s="358"/>
      <c r="T173" s="358"/>
      <c r="U173" s="358"/>
      <c r="V173" s="358"/>
      <c r="W173" s="358"/>
      <c r="X173" s="358"/>
      <c r="Y173" s="358"/>
      <c r="Z173" s="358"/>
      <c r="AA173" s="358"/>
      <c r="AB173" s="358"/>
    </row>
    <row r="174" spans="1:28" ht="14.25" customHeight="1" x14ac:dyDescent="0.2">
      <c r="A174" s="388"/>
      <c r="B174" s="358"/>
      <c r="C174" s="358"/>
      <c r="D174" s="358"/>
      <c r="E174" s="358"/>
      <c r="F174" s="358"/>
      <c r="G174" s="358"/>
      <c r="H174" s="358"/>
      <c r="I174" s="358"/>
      <c r="J174" s="358"/>
      <c r="K174" s="358"/>
      <c r="L174" s="358"/>
      <c r="M174" s="358"/>
      <c r="N174" s="358"/>
      <c r="O174" s="358"/>
      <c r="P174" s="358"/>
      <c r="Q174" s="358"/>
      <c r="R174" s="358"/>
      <c r="S174" s="358"/>
      <c r="T174" s="358"/>
      <c r="U174" s="358"/>
      <c r="V174" s="358"/>
      <c r="W174" s="358"/>
      <c r="X174" s="358"/>
      <c r="Y174" s="358"/>
      <c r="Z174" s="358"/>
      <c r="AA174" s="358"/>
      <c r="AB174" s="358"/>
    </row>
    <row r="175" spans="1:28" ht="14.25" customHeight="1" x14ac:dyDescent="0.2">
      <c r="A175" s="388"/>
      <c r="B175" s="358"/>
      <c r="C175" s="358"/>
      <c r="D175" s="358"/>
      <c r="E175" s="358"/>
      <c r="F175" s="358"/>
      <c r="G175" s="358"/>
      <c r="H175" s="358"/>
      <c r="I175" s="358"/>
      <c r="J175" s="358"/>
      <c r="K175" s="358"/>
      <c r="L175" s="358"/>
      <c r="M175" s="358"/>
      <c r="N175" s="358"/>
      <c r="O175" s="358"/>
      <c r="P175" s="358"/>
      <c r="Q175" s="358"/>
      <c r="R175" s="358"/>
      <c r="S175" s="358"/>
      <c r="T175" s="358"/>
      <c r="U175" s="358"/>
      <c r="V175" s="358"/>
      <c r="W175" s="358"/>
      <c r="X175" s="358"/>
      <c r="Y175" s="358"/>
      <c r="Z175" s="358"/>
      <c r="AA175" s="358"/>
      <c r="AB175" s="358"/>
    </row>
    <row r="176" spans="1:28" ht="14.25" customHeight="1" x14ac:dyDescent="0.2">
      <c r="A176" s="388"/>
      <c r="B176" s="358"/>
      <c r="C176" s="358"/>
      <c r="D176" s="358"/>
      <c r="E176" s="358"/>
      <c r="F176" s="358"/>
      <c r="G176" s="358"/>
      <c r="H176" s="358"/>
      <c r="I176" s="358"/>
      <c r="J176" s="358"/>
      <c r="K176" s="358"/>
      <c r="L176" s="358"/>
      <c r="M176" s="358"/>
      <c r="N176" s="358"/>
      <c r="O176" s="358"/>
      <c r="P176" s="358"/>
      <c r="Q176" s="358"/>
      <c r="R176" s="358"/>
      <c r="S176" s="358"/>
      <c r="T176" s="358"/>
      <c r="U176" s="358"/>
      <c r="V176" s="358"/>
      <c r="W176" s="358"/>
      <c r="X176" s="358"/>
      <c r="Y176" s="358"/>
      <c r="Z176" s="358"/>
      <c r="AA176" s="358"/>
      <c r="AB176" s="358"/>
    </row>
    <row r="177" spans="1:28" ht="14.25" customHeight="1" x14ac:dyDescent="0.2">
      <c r="A177" s="388"/>
      <c r="B177" s="358"/>
      <c r="C177" s="358"/>
      <c r="D177" s="358"/>
      <c r="E177" s="358"/>
      <c r="F177" s="358"/>
      <c r="G177" s="358"/>
      <c r="H177" s="358"/>
      <c r="I177" s="358"/>
      <c r="J177" s="358"/>
      <c r="K177" s="358"/>
      <c r="L177" s="358"/>
      <c r="M177" s="358"/>
      <c r="N177" s="358"/>
      <c r="O177" s="358"/>
      <c r="P177" s="358"/>
      <c r="Q177" s="358"/>
      <c r="R177" s="358"/>
      <c r="S177" s="358"/>
      <c r="T177" s="358"/>
      <c r="U177" s="358"/>
      <c r="V177" s="358"/>
      <c r="W177" s="358"/>
      <c r="X177" s="358"/>
      <c r="Y177" s="358"/>
      <c r="Z177" s="358"/>
      <c r="AA177" s="358"/>
      <c r="AB177" s="358"/>
    </row>
    <row r="178" spans="1:28" ht="14.25" customHeight="1" x14ac:dyDescent="0.2">
      <c r="A178" s="388"/>
      <c r="B178" s="358"/>
      <c r="C178" s="358"/>
      <c r="D178" s="358"/>
      <c r="E178" s="358"/>
      <c r="F178" s="358"/>
      <c r="G178" s="358"/>
      <c r="H178" s="358"/>
      <c r="I178" s="358"/>
      <c r="J178" s="358"/>
      <c r="K178" s="358"/>
      <c r="L178" s="358"/>
      <c r="M178" s="358"/>
      <c r="N178" s="358"/>
      <c r="O178" s="358"/>
      <c r="P178" s="358"/>
      <c r="Q178" s="358"/>
      <c r="R178" s="358"/>
      <c r="S178" s="358"/>
      <c r="T178" s="358"/>
      <c r="U178" s="358"/>
      <c r="V178" s="358"/>
      <c r="W178" s="358"/>
      <c r="X178" s="358"/>
      <c r="Y178" s="358"/>
      <c r="Z178" s="358"/>
      <c r="AA178" s="358"/>
      <c r="AB178" s="358"/>
    </row>
    <row r="179" spans="1:28" ht="14.25" customHeight="1" x14ac:dyDescent="0.2">
      <c r="A179" s="388"/>
      <c r="B179" s="358"/>
      <c r="C179" s="358"/>
      <c r="D179" s="358"/>
      <c r="E179" s="358"/>
      <c r="F179" s="358"/>
      <c r="G179" s="358"/>
      <c r="H179" s="358"/>
      <c r="I179" s="358"/>
      <c r="J179" s="358"/>
      <c r="K179" s="358"/>
      <c r="L179" s="358"/>
      <c r="M179" s="358"/>
      <c r="N179" s="358"/>
      <c r="O179" s="358"/>
      <c r="P179" s="358"/>
      <c r="Q179" s="358"/>
      <c r="R179" s="358"/>
      <c r="S179" s="358"/>
      <c r="T179" s="358"/>
      <c r="U179" s="358"/>
      <c r="V179" s="358"/>
      <c r="W179" s="358"/>
      <c r="X179" s="358"/>
      <c r="Y179" s="358"/>
      <c r="Z179" s="358"/>
      <c r="AA179" s="358"/>
      <c r="AB179" s="358"/>
    </row>
    <row r="180" spans="1:28" ht="14.25" customHeight="1" x14ac:dyDescent="0.2">
      <c r="A180" s="388"/>
      <c r="B180" s="358"/>
      <c r="C180" s="358"/>
      <c r="D180" s="358"/>
      <c r="E180" s="358"/>
      <c r="F180" s="358"/>
      <c r="G180" s="358"/>
      <c r="H180" s="358"/>
      <c r="I180" s="358"/>
      <c r="J180" s="358"/>
      <c r="K180" s="358"/>
      <c r="L180" s="358"/>
      <c r="M180" s="358"/>
      <c r="N180" s="358"/>
      <c r="O180" s="358"/>
      <c r="P180" s="358"/>
      <c r="Q180" s="358"/>
      <c r="R180" s="358"/>
      <c r="S180" s="358"/>
      <c r="T180" s="358"/>
      <c r="U180" s="358"/>
      <c r="V180" s="358"/>
      <c r="W180" s="358"/>
      <c r="X180" s="358"/>
      <c r="Y180" s="358"/>
      <c r="Z180" s="358"/>
      <c r="AA180" s="358"/>
      <c r="AB180" s="358"/>
    </row>
    <row r="181" spans="1:28" ht="14.25" customHeight="1" x14ac:dyDescent="0.2">
      <c r="A181" s="388"/>
      <c r="B181" s="358"/>
      <c r="C181" s="358"/>
      <c r="D181" s="358"/>
      <c r="E181" s="358"/>
      <c r="F181" s="358"/>
      <c r="G181" s="358"/>
      <c r="H181" s="358"/>
      <c r="I181" s="358"/>
      <c r="J181" s="358"/>
      <c r="K181" s="358"/>
      <c r="L181" s="358"/>
      <c r="M181" s="358"/>
      <c r="N181" s="358"/>
      <c r="O181" s="358"/>
      <c r="P181" s="358"/>
      <c r="Q181" s="358"/>
      <c r="R181" s="358"/>
      <c r="S181" s="358"/>
      <c r="T181" s="358"/>
      <c r="U181" s="358"/>
      <c r="V181" s="358"/>
      <c r="W181" s="358"/>
      <c r="X181" s="358"/>
      <c r="Y181" s="358"/>
      <c r="Z181" s="358"/>
      <c r="AA181" s="358"/>
      <c r="AB181" s="358"/>
    </row>
    <row r="182" spans="1:28" ht="14.25" customHeight="1" x14ac:dyDescent="0.2">
      <c r="A182" s="388"/>
      <c r="B182" s="358"/>
      <c r="C182" s="358"/>
      <c r="D182" s="358"/>
      <c r="E182" s="358"/>
      <c r="F182" s="358"/>
      <c r="G182" s="358"/>
      <c r="H182" s="358"/>
      <c r="I182" s="358"/>
      <c r="J182" s="358"/>
      <c r="K182" s="358"/>
      <c r="L182" s="358"/>
      <c r="M182" s="358"/>
      <c r="N182" s="358"/>
      <c r="O182" s="358"/>
      <c r="P182" s="358"/>
      <c r="Q182" s="358"/>
      <c r="R182" s="358"/>
      <c r="S182" s="358"/>
      <c r="T182" s="358"/>
      <c r="U182" s="358"/>
      <c r="V182" s="358"/>
      <c r="W182" s="358"/>
      <c r="X182" s="358"/>
      <c r="Y182" s="358"/>
      <c r="Z182" s="358"/>
      <c r="AA182" s="358"/>
      <c r="AB182" s="358"/>
    </row>
    <row r="183" spans="1:28" ht="14.25" customHeight="1" x14ac:dyDescent="0.2">
      <c r="A183" s="388"/>
      <c r="B183" s="358"/>
      <c r="C183" s="358"/>
      <c r="D183" s="358"/>
      <c r="E183" s="358"/>
      <c r="F183" s="358"/>
      <c r="G183" s="358"/>
      <c r="H183" s="358"/>
      <c r="I183" s="358"/>
      <c r="J183" s="358"/>
      <c r="K183" s="358"/>
      <c r="L183" s="358"/>
      <c r="M183" s="358"/>
      <c r="N183" s="358"/>
      <c r="O183" s="358"/>
      <c r="P183" s="358"/>
      <c r="Q183" s="358"/>
      <c r="R183" s="358"/>
      <c r="S183" s="358"/>
      <c r="T183" s="358"/>
      <c r="U183" s="358"/>
      <c r="V183" s="358"/>
      <c r="W183" s="358"/>
      <c r="X183" s="358"/>
      <c r="Y183" s="358"/>
      <c r="Z183" s="358"/>
      <c r="AA183" s="358"/>
      <c r="AB183" s="358"/>
    </row>
    <row r="184" spans="1:28" ht="14.25" customHeight="1" x14ac:dyDescent="0.2">
      <c r="A184" s="388"/>
      <c r="B184" s="358"/>
      <c r="C184" s="358"/>
      <c r="D184" s="358"/>
      <c r="E184" s="358"/>
      <c r="F184" s="358"/>
      <c r="G184" s="358"/>
      <c r="H184" s="358"/>
      <c r="I184" s="358"/>
      <c r="J184" s="358"/>
      <c r="K184" s="358"/>
      <c r="L184" s="358"/>
      <c r="M184" s="358"/>
      <c r="N184" s="358"/>
      <c r="O184" s="358"/>
      <c r="P184" s="358"/>
      <c r="Q184" s="358"/>
      <c r="R184" s="358"/>
      <c r="S184" s="358"/>
      <c r="T184" s="358"/>
      <c r="U184" s="358"/>
      <c r="V184" s="358"/>
      <c r="W184" s="358"/>
      <c r="X184" s="358"/>
      <c r="Y184" s="358"/>
      <c r="Z184" s="358"/>
      <c r="AA184" s="358"/>
      <c r="AB184" s="358"/>
    </row>
    <row r="185" spans="1:28" ht="14.25" customHeight="1" x14ac:dyDescent="0.2">
      <c r="A185" s="388"/>
      <c r="B185" s="358"/>
      <c r="C185" s="358"/>
      <c r="D185" s="358"/>
      <c r="E185" s="358"/>
      <c r="F185" s="358"/>
      <c r="G185" s="358"/>
      <c r="H185" s="358"/>
      <c r="I185" s="358"/>
      <c r="J185" s="358"/>
      <c r="K185" s="358"/>
      <c r="L185" s="358"/>
      <c r="M185" s="358"/>
      <c r="N185" s="358"/>
      <c r="O185" s="358"/>
      <c r="P185" s="358"/>
      <c r="Q185" s="358"/>
      <c r="R185" s="358"/>
      <c r="S185" s="358"/>
      <c r="T185" s="358"/>
      <c r="U185" s="358"/>
      <c r="V185" s="358"/>
      <c r="W185" s="358"/>
      <c r="X185" s="358"/>
      <c r="Y185" s="358"/>
      <c r="Z185" s="358"/>
      <c r="AA185" s="358"/>
      <c r="AB185" s="358"/>
    </row>
    <row r="186" spans="1:28" ht="14.25" customHeight="1" x14ac:dyDescent="0.2">
      <c r="A186" s="388"/>
      <c r="B186" s="358"/>
      <c r="C186" s="358"/>
      <c r="D186" s="358"/>
      <c r="E186" s="358"/>
      <c r="F186" s="358"/>
      <c r="G186" s="358"/>
      <c r="H186" s="358"/>
      <c r="I186" s="358"/>
      <c r="J186" s="358"/>
      <c r="K186" s="358"/>
      <c r="L186" s="358"/>
      <c r="M186" s="358"/>
      <c r="N186" s="358"/>
      <c r="O186" s="358"/>
      <c r="P186" s="358"/>
      <c r="Q186" s="358"/>
      <c r="R186" s="358"/>
      <c r="S186" s="358"/>
      <c r="T186" s="358"/>
      <c r="U186" s="358"/>
      <c r="V186" s="358"/>
      <c r="W186" s="358"/>
      <c r="X186" s="358"/>
      <c r="Y186" s="358"/>
      <c r="Z186" s="358"/>
      <c r="AA186" s="358"/>
      <c r="AB186" s="358"/>
    </row>
    <row r="187" spans="1:28" ht="14.25" customHeight="1" x14ac:dyDescent="0.2">
      <c r="A187" s="388"/>
      <c r="B187" s="358"/>
      <c r="C187" s="358"/>
      <c r="D187" s="358"/>
      <c r="E187" s="358"/>
      <c r="F187" s="358"/>
      <c r="G187" s="358"/>
      <c r="H187" s="358"/>
      <c r="I187" s="358"/>
      <c r="J187" s="358"/>
      <c r="K187" s="358"/>
      <c r="L187" s="358"/>
      <c r="M187" s="358"/>
      <c r="N187" s="358"/>
      <c r="O187" s="358"/>
      <c r="P187" s="358"/>
      <c r="Q187" s="358"/>
      <c r="R187" s="358"/>
      <c r="S187" s="358"/>
      <c r="T187" s="358"/>
      <c r="U187" s="358"/>
      <c r="V187" s="358"/>
      <c r="W187" s="358"/>
      <c r="X187" s="358"/>
      <c r="Y187" s="358"/>
      <c r="Z187" s="358"/>
      <c r="AA187" s="358"/>
      <c r="AB187" s="358"/>
    </row>
    <row r="188" spans="1:28" ht="14.25" customHeight="1" x14ac:dyDescent="0.2">
      <c r="A188" s="388"/>
      <c r="B188" s="358"/>
      <c r="C188" s="358"/>
      <c r="D188" s="358"/>
      <c r="E188" s="358"/>
      <c r="F188" s="358"/>
      <c r="G188" s="358"/>
      <c r="H188" s="358"/>
      <c r="I188" s="358"/>
      <c r="J188" s="358"/>
      <c r="K188" s="358"/>
      <c r="L188" s="358"/>
      <c r="M188" s="358"/>
      <c r="N188" s="358"/>
      <c r="O188" s="358"/>
      <c r="P188" s="358"/>
      <c r="Q188" s="358"/>
      <c r="R188" s="358"/>
      <c r="S188" s="358"/>
      <c r="T188" s="358"/>
      <c r="U188" s="358"/>
      <c r="V188" s="358"/>
      <c r="W188" s="358"/>
      <c r="X188" s="358"/>
      <c r="Y188" s="358"/>
      <c r="Z188" s="358"/>
      <c r="AA188" s="358"/>
      <c r="AB188" s="358"/>
    </row>
    <row r="189" spans="1:28" ht="14.25" customHeight="1" x14ac:dyDescent="0.2">
      <c r="A189" s="388"/>
      <c r="B189" s="358"/>
      <c r="C189" s="358"/>
      <c r="D189" s="358"/>
      <c r="E189" s="358"/>
      <c r="F189" s="358"/>
      <c r="G189" s="358"/>
      <c r="H189" s="358"/>
      <c r="I189" s="358"/>
      <c r="J189" s="358"/>
      <c r="K189" s="358"/>
      <c r="L189" s="358"/>
      <c r="M189" s="358"/>
      <c r="N189" s="358"/>
      <c r="O189" s="358"/>
      <c r="P189" s="358"/>
      <c r="Q189" s="358"/>
      <c r="R189" s="358"/>
      <c r="S189" s="358"/>
      <c r="T189" s="358"/>
      <c r="U189" s="358"/>
      <c r="V189" s="358"/>
      <c r="W189" s="358"/>
      <c r="X189" s="358"/>
      <c r="Y189" s="358"/>
      <c r="Z189" s="358"/>
      <c r="AA189" s="358"/>
      <c r="AB189" s="358"/>
    </row>
    <row r="190" spans="1:28" ht="14.25" customHeight="1" x14ac:dyDescent="0.2">
      <c r="A190" s="388"/>
      <c r="B190" s="358"/>
      <c r="C190" s="358"/>
      <c r="D190" s="358"/>
      <c r="E190" s="358"/>
      <c r="F190" s="358"/>
      <c r="G190" s="358"/>
      <c r="H190" s="358"/>
      <c r="I190" s="358"/>
      <c r="J190" s="358"/>
      <c r="K190" s="358"/>
      <c r="L190" s="358"/>
      <c r="M190" s="358"/>
      <c r="N190" s="358"/>
      <c r="O190" s="358"/>
      <c r="P190" s="358"/>
      <c r="Q190" s="358"/>
      <c r="R190" s="358"/>
      <c r="S190" s="358"/>
      <c r="T190" s="358"/>
      <c r="U190" s="358"/>
      <c r="V190" s="358"/>
      <c r="W190" s="358"/>
      <c r="X190" s="358"/>
      <c r="Y190" s="358"/>
      <c r="Z190" s="358"/>
      <c r="AA190" s="358"/>
      <c r="AB190" s="358"/>
    </row>
    <row r="191" spans="1:28" ht="14.25" customHeight="1" x14ac:dyDescent="0.2">
      <c r="A191" s="388"/>
      <c r="B191" s="358"/>
      <c r="C191" s="358"/>
      <c r="D191" s="358"/>
      <c r="E191" s="358"/>
      <c r="F191" s="358"/>
      <c r="G191" s="358"/>
      <c r="H191" s="358"/>
      <c r="I191" s="358"/>
      <c r="J191" s="358"/>
      <c r="K191" s="358"/>
      <c r="L191" s="358"/>
      <c r="M191" s="358"/>
      <c r="N191" s="358"/>
      <c r="O191" s="358"/>
      <c r="P191" s="358"/>
      <c r="Q191" s="358"/>
      <c r="R191" s="358"/>
      <c r="S191" s="358"/>
      <c r="T191" s="358"/>
      <c r="U191" s="358"/>
      <c r="V191" s="358"/>
      <c r="W191" s="358"/>
      <c r="X191" s="358"/>
      <c r="Y191" s="358"/>
      <c r="Z191" s="358"/>
      <c r="AA191" s="358"/>
      <c r="AB191" s="358"/>
    </row>
    <row r="192" spans="1:28" ht="14.25" customHeight="1" x14ac:dyDescent="0.2">
      <c r="A192" s="388"/>
      <c r="B192" s="358"/>
      <c r="C192" s="358"/>
      <c r="D192" s="358"/>
      <c r="E192" s="358"/>
      <c r="F192" s="358"/>
      <c r="G192" s="358"/>
      <c r="H192" s="358"/>
      <c r="I192" s="358"/>
      <c r="J192" s="358"/>
      <c r="K192" s="358"/>
      <c r="L192" s="358"/>
      <c r="M192" s="358"/>
      <c r="N192" s="358"/>
      <c r="O192" s="358"/>
      <c r="P192" s="358"/>
      <c r="Q192" s="358"/>
      <c r="R192" s="358"/>
      <c r="S192" s="358"/>
      <c r="T192" s="358"/>
      <c r="U192" s="358"/>
      <c r="V192" s="358"/>
      <c r="W192" s="358"/>
      <c r="X192" s="358"/>
      <c r="Y192" s="358"/>
      <c r="Z192" s="358"/>
      <c r="AA192" s="358"/>
      <c r="AB192" s="358"/>
    </row>
    <row r="193" spans="1:28" ht="14.25" customHeight="1" x14ac:dyDescent="0.2">
      <c r="A193" s="388"/>
      <c r="B193" s="358"/>
      <c r="C193" s="358"/>
      <c r="D193" s="358"/>
      <c r="E193" s="358"/>
      <c r="F193" s="358"/>
      <c r="G193" s="358"/>
      <c r="H193" s="358"/>
      <c r="I193" s="358"/>
      <c r="J193" s="358"/>
      <c r="K193" s="358"/>
      <c r="L193" s="358"/>
      <c r="M193" s="358"/>
      <c r="N193" s="358"/>
      <c r="O193" s="358"/>
      <c r="P193" s="358"/>
      <c r="Q193" s="358"/>
      <c r="R193" s="358"/>
      <c r="S193" s="358"/>
      <c r="T193" s="358"/>
      <c r="U193" s="358"/>
      <c r="V193" s="358"/>
      <c r="W193" s="358"/>
      <c r="X193" s="358"/>
      <c r="Y193" s="358"/>
      <c r="Z193" s="358"/>
      <c r="AA193" s="358"/>
      <c r="AB193" s="358"/>
    </row>
    <row r="194" spans="1:28" ht="14.25" customHeight="1" x14ac:dyDescent="0.2">
      <c r="A194" s="388"/>
      <c r="B194" s="358"/>
      <c r="C194" s="358"/>
      <c r="D194" s="358"/>
      <c r="E194" s="358"/>
      <c r="F194" s="358"/>
      <c r="G194" s="358"/>
      <c r="H194" s="358"/>
      <c r="I194" s="358"/>
      <c r="J194" s="358"/>
      <c r="K194" s="358"/>
      <c r="L194" s="358"/>
      <c r="M194" s="358"/>
      <c r="N194" s="358"/>
      <c r="O194" s="358"/>
      <c r="P194" s="358"/>
      <c r="Q194" s="358"/>
      <c r="R194" s="358"/>
      <c r="S194" s="358"/>
      <c r="T194" s="358"/>
      <c r="U194" s="358"/>
      <c r="V194" s="358"/>
      <c r="W194" s="358"/>
      <c r="X194" s="358"/>
      <c r="Y194" s="358"/>
      <c r="Z194" s="358"/>
      <c r="AA194" s="358"/>
      <c r="AB194" s="358"/>
    </row>
    <row r="195" spans="1:28" ht="14.25" customHeight="1" x14ac:dyDescent="0.2">
      <c r="A195" s="388"/>
      <c r="B195" s="358"/>
      <c r="C195" s="358"/>
      <c r="D195" s="358"/>
      <c r="E195" s="358"/>
      <c r="F195" s="358"/>
      <c r="G195" s="358"/>
      <c r="H195" s="358"/>
      <c r="I195" s="358"/>
      <c r="J195" s="358"/>
      <c r="K195" s="358"/>
      <c r="L195" s="358"/>
      <c r="M195" s="358"/>
      <c r="N195" s="358"/>
      <c r="O195" s="358"/>
      <c r="P195" s="358"/>
      <c r="Q195" s="358"/>
      <c r="R195" s="358"/>
      <c r="S195" s="358"/>
      <c r="T195" s="358"/>
      <c r="U195" s="358"/>
      <c r="V195" s="358"/>
      <c r="W195" s="358"/>
      <c r="X195" s="358"/>
      <c r="Y195" s="358"/>
      <c r="Z195" s="358"/>
      <c r="AA195" s="358"/>
      <c r="AB195" s="358"/>
    </row>
    <row r="196" spans="1:28" ht="14.25" customHeight="1" x14ac:dyDescent="0.2">
      <c r="A196" s="388"/>
      <c r="B196" s="358"/>
      <c r="C196" s="358"/>
      <c r="D196" s="358"/>
      <c r="E196" s="358"/>
      <c r="F196" s="358"/>
      <c r="G196" s="358"/>
      <c r="H196" s="358"/>
      <c r="I196" s="358"/>
      <c r="J196" s="358"/>
      <c r="K196" s="358"/>
      <c r="L196" s="358"/>
      <c r="M196" s="358"/>
      <c r="N196" s="358"/>
      <c r="O196" s="358"/>
      <c r="P196" s="358"/>
      <c r="Q196" s="358"/>
      <c r="R196" s="358"/>
      <c r="S196" s="358"/>
      <c r="T196" s="358"/>
      <c r="U196" s="358"/>
      <c r="V196" s="358"/>
      <c r="W196" s="358"/>
      <c r="X196" s="358"/>
      <c r="Y196" s="358"/>
      <c r="Z196" s="358"/>
      <c r="AA196" s="358"/>
      <c r="AB196" s="358"/>
    </row>
    <row r="197" spans="1:28" ht="14.25" customHeight="1" x14ac:dyDescent="0.2">
      <c r="A197" s="388"/>
      <c r="B197" s="358"/>
      <c r="C197" s="358"/>
      <c r="D197" s="358"/>
      <c r="E197" s="358"/>
      <c r="F197" s="358"/>
      <c r="G197" s="358"/>
      <c r="H197" s="358"/>
      <c r="I197" s="358"/>
      <c r="J197" s="358"/>
      <c r="K197" s="358"/>
      <c r="L197" s="358"/>
      <c r="M197" s="358"/>
      <c r="N197" s="358"/>
      <c r="O197" s="358"/>
      <c r="P197" s="358"/>
      <c r="Q197" s="358"/>
      <c r="R197" s="358"/>
      <c r="S197" s="358"/>
      <c r="T197" s="358"/>
      <c r="U197" s="358"/>
      <c r="V197" s="358"/>
      <c r="W197" s="358"/>
      <c r="X197" s="358"/>
      <c r="Y197" s="358"/>
      <c r="Z197" s="358"/>
      <c r="AA197" s="358"/>
      <c r="AB197" s="358"/>
    </row>
    <row r="198" spans="1:28" ht="14.25" customHeight="1" x14ac:dyDescent="0.2">
      <c r="A198" s="388"/>
      <c r="B198" s="358"/>
      <c r="C198" s="358"/>
      <c r="D198" s="358"/>
      <c r="E198" s="358"/>
      <c r="F198" s="358"/>
      <c r="G198" s="358"/>
      <c r="H198" s="358"/>
      <c r="I198" s="358"/>
      <c r="J198" s="358"/>
      <c r="K198" s="358"/>
      <c r="L198" s="358"/>
      <c r="M198" s="358"/>
      <c r="N198" s="358"/>
      <c r="O198" s="358"/>
      <c r="P198" s="358"/>
      <c r="Q198" s="358"/>
      <c r="R198" s="358"/>
      <c r="S198" s="358"/>
      <c r="T198" s="358"/>
      <c r="U198" s="358"/>
      <c r="V198" s="358"/>
      <c r="W198" s="358"/>
      <c r="X198" s="358"/>
      <c r="Y198" s="358"/>
      <c r="Z198" s="358"/>
      <c r="AA198" s="358"/>
      <c r="AB198" s="358"/>
    </row>
    <row r="199" spans="1:28" ht="14.25" customHeight="1" x14ac:dyDescent="0.2">
      <c r="A199" s="388"/>
      <c r="B199" s="358"/>
      <c r="C199" s="358"/>
      <c r="D199" s="358"/>
      <c r="E199" s="358"/>
      <c r="F199" s="358"/>
      <c r="G199" s="358"/>
      <c r="H199" s="358"/>
      <c r="I199" s="358"/>
      <c r="J199" s="358"/>
      <c r="K199" s="358"/>
      <c r="L199" s="358"/>
      <c r="M199" s="358"/>
      <c r="N199" s="358"/>
      <c r="O199" s="358"/>
      <c r="P199" s="358"/>
      <c r="Q199" s="358"/>
      <c r="R199" s="358"/>
      <c r="S199" s="358"/>
      <c r="T199" s="358"/>
      <c r="U199" s="358"/>
      <c r="V199" s="358"/>
      <c r="W199" s="358"/>
      <c r="X199" s="358"/>
      <c r="Y199" s="358"/>
      <c r="Z199" s="358"/>
      <c r="AA199" s="358"/>
      <c r="AB199" s="358"/>
    </row>
    <row r="200" spans="1:28" ht="14.25" customHeight="1" x14ac:dyDescent="0.2">
      <c r="A200" s="388"/>
      <c r="B200" s="358"/>
      <c r="C200" s="358"/>
      <c r="D200" s="358"/>
      <c r="E200" s="358"/>
      <c r="F200" s="358"/>
      <c r="G200" s="358"/>
      <c r="H200" s="358"/>
      <c r="I200" s="358"/>
      <c r="J200" s="358"/>
      <c r="K200" s="358"/>
      <c r="L200" s="358"/>
      <c r="M200" s="358"/>
      <c r="N200" s="358"/>
      <c r="O200" s="358"/>
      <c r="P200" s="358"/>
      <c r="Q200" s="358"/>
      <c r="R200" s="358"/>
      <c r="S200" s="358"/>
      <c r="T200" s="358"/>
      <c r="U200" s="358"/>
      <c r="V200" s="358"/>
      <c r="W200" s="358"/>
      <c r="X200" s="358"/>
      <c r="Y200" s="358"/>
      <c r="Z200" s="358"/>
      <c r="AA200" s="358"/>
      <c r="AB200" s="358"/>
    </row>
    <row r="201" spans="1:28" ht="14.25" customHeight="1" x14ac:dyDescent="0.2">
      <c r="A201" s="388"/>
      <c r="B201" s="358"/>
      <c r="C201" s="358"/>
      <c r="D201" s="358"/>
      <c r="E201" s="358"/>
      <c r="F201" s="358"/>
      <c r="G201" s="358"/>
      <c r="H201" s="358"/>
      <c r="I201" s="358"/>
      <c r="J201" s="358"/>
      <c r="K201" s="358"/>
      <c r="L201" s="358"/>
      <c r="M201" s="358"/>
      <c r="N201" s="358"/>
      <c r="O201" s="358"/>
      <c r="P201" s="358"/>
      <c r="Q201" s="358"/>
      <c r="R201" s="358"/>
      <c r="S201" s="358"/>
      <c r="T201" s="358"/>
      <c r="U201" s="358"/>
      <c r="V201" s="358"/>
      <c r="W201" s="358"/>
      <c r="X201" s="358"/>
      <c r="Y201" s="358"/>
      <c r="Z201" s="358"/>
      <c r="AA201" s="358"/>
      <c r="AB201" s="358"/>
    </row>
    <row r="202" spans="1:28" ht="14.25" customHeight="1" x14ac:dyDescent="0.2">
      <c r="A202" s="388"/>
      <c r="B202" s="358"/>
      <c r="C202" s="358"/>
      <c r="D202" s="358"/>
      <c r="E202" s="358"/>
      <c r="F202" s="358"/>
      <c r="G202" s="358"/>
      <c r="H202" s="358"/>
      <c r="I202" s="358"/>
      <c r="J202" s="358"/>
      <c r="K202" s="358"/>
      <c r="L202" s="358"/>
      <c r="M202" s="358"/>
      <c r="N202" s="358"/>
      <c r="O202" s="358"/>
      <c r="P202" s="358"/>
      <c r="Q202" s="358"/>
      <c r="R202" s="358"/>
      <c r="S202" s="358"/>
      <c r="T202" s="358"/>
      <c r="U202" s="358"/>
      <c r="V202" s="358"/>
      <c r="W202" s="358"/>
      <c r="X202" s="358"/>
      <c r="Y202" s="358"/>
      <c r="Z202" s="358"/>
      <c r="AA202" s="358"/>
      <c r="AB202" s="358"/>
    </row>
    <row r="203" spans="1:28" ht="14.25" customHeight="1" x14ac:dyDescent="0.2">
      <c r="A203" s="388"/>
      <c r="B203" s="358"/>
      <c r="C203" s="358"/>
      <c r="D203" s="358"/>
      <c r="E203" s="358"/>
      <c r="F203" s="358"/>
      <c r="G203" s="358"/>
      <c r="H203" s="358"/>
      <c r="I203" s="358"/>
      <c r="J203" s="358"/>
      <c r="K203" s="358"/>
      <c r="L203" s="358"/>
      <c r="M203" s="358"/>
      <c r="N203" s="358"/>
      <c r="O203" s="358"/>
      <c r="P203" s="358"/>
      <c r="Q203" s="358"/>
      <c r="R203" s="358"/>
      <c r="S203" s="358"/>
      <c r="T203" s="358"/>
      <c r="U203" s="358"/>
      <c r="V203" s="358"/>
      <c r="W203" s="358"/>
      <c r="X203" s="358"/>
      <c r="Y203" s="358"/>
      <c r="Z203" s="358"/>
      <c r="AA203" s="358"/>
      <c r="AB203" s="358"/>
    </row>
    <row r="204" spans="1:28" ht="14.25" customHeight="1" x14ac:dyDescent="0.2">
      <c r="A204" s="388"/>
      <c r="B204" s="358"/>
      <c r="C204" s="358"/>
      <c r="D204" s="358"/>
      <c r="E204" s="358"/>
      <c r="F204" s="358"/>
      <c r="G204" s="358"/>
      <c r="H204" s="358"/>
      <c r="I204" s="358"/>
      <c r="J204" s="358"/>
      <c r="K204" s="358"/>
      <c r="L204" s="358"/>
      <c r="M204" s="358"/>
      <c r="N204" s="358"/>
      <c r="O204" s="358"/>
      <c r="P204" s="358"/>
      <c r="Q204" s="358"/>
      <c r="R204" s="358"/>
      <c r="S204" s="358"/>
      <c r="T204" s="358"/>
      <c r="U204" s="358"/>
      <c r="V204" s="358"/>
      <c r="W204" s="358"/>
      <c r="X204" s="358"/>
      <c r="Y204" s="358"/>
      <c r="Z204" s="358"/>
      <c r="AA204" s="358"/>
      <c r="AB204" s="358"/>
    </row>
    <row r="205" spans="1:28" ht="14.25" customHeight="1" x14ac:dyDescent="0.2">
      <c r="A205" s="388"/>
      <c r="B205" s="358"/>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row>
    <row r="206" spans="1:28" ht="14.25" customHeight="1" x14ac:dyDescent="0.2">
      <c r="A206" s="388"/>
      <c r="B206" s="358"/>
      <c r="C206" s="358"/>
      <c r="D206" s="358"/>
      <c r="E206" s="358"/>
      <c r="F206" s="358"/>
      <c r="G206" s="358"/>
      <c r="H206" s="358"/>
      <c r="I206" s="358"/>
      <c r="J206" s="358"/>
      <c r="K206" s="358"/>
      <c r="L206" s="358"/>
      <c r="M206" s="358"/>
      <c r="N206" s="358"/>
      <c r="O206" s="358"/>
      <c r="P206" s="358"/>
      <c r="Q206" s="358"/>
      <c r="R206" s="358"/>
      <c r="S206" s="358"/>
      <c r="T206" s="358"/>
      <c r="U206" s="358"/>
      <c r="V206" s="358"/>
      <c r="W206" s="358"/>
      <c r="X206" s="358"/>
      <c r="Y206" s="358"/>
      <c r="Z206" s="358"/>
      <c r="AA206" s="358"/>
      <c r="AB206" s="358"/>
    </row>
    <row r="207" spans="1:28" ht="14.25" customHeight="1" x14ac:dyDescent="0.2">
      <c r="A207" s="388"/>
      <c r="B207" s="358"/>
      <c r="C207" s="358"/>
      <c r="D207" s="358"/>
      <c r="E207" s="358"/>
      <c r="F207" s="358"/>
      <c r="G207" s="358"/>
      <c r="H207" s="358"/>
      <c r="I207" s="358"/>
      <c r="J207" s="358"/>
      <c r="K207" s="358"/>
      <c r="L207" s="358"/>
      <c r="M207" s="358"/>
      <c r="N207" s="358"/>
      <c r="O207" s="358"/>
      <c r="P207" s="358"/>
      <c r="Q207" s="358"/>
      <c r="R207" s="358"/>
      <c r="S207" s="358"/>
      <c r="T207" s="358"/>
      <c r="U207" s="358"/>
      <c r="V207" s="358"/>
      <c r="W207" s="358"/>
      <c r="X207" s="358"/>
      <c r="Y207" s="358"/>
      <c r="Z207" s="358"/>
      <c r="AA207" s="358"/>
      <c r="AB207" s="358"/>
    </row>
    <row r="208" spans="1:28" ht="14.25" customHeight="1" x14ac:dyDescent="0.2">
      <c r="A208" s="388"/>
      <c r="B208" s="358"/>
      <c r="C208" s="358"/>
      <c r="D208" s="358"/>
      <c r="E208" s="358"/>
      <c r="F208" s="358"/>
      <c r="G208" s="358"/>
      <c r="H208" s="358"/>
      <c r="I208" s="358"/>
      <c r="J208" s="358"/>
      <c r="K208" s="358"/>
      <c r="L208" s="358"/>
      <c r="M208" s="358"/>
      <c r="N208" s="358"/>
      <c r="O208" s="358"/>
      <c r="P208" s="358"/>
      <c r="Q208" s="358"/>
      <c r="R208" s="358"/>
      <c r="S208" s="358"/>
      <c r="T208" s="358"/>
      <c r="U208" s="358"/>
      <c r="V208" s="358"/>
      <c r="W208" s="358"/>
      <c r="X208" s="358"/>
      <c r="Y208" s="358"/>
      <c r="Z208" s="358"/>
      <c r="AA208" s="358"/>
      <c r="AB208" s="358"/>
    </row>
    <row r="209" spans="1:28" ht="14.25" customHeight="1" x14ac:dyDescent="0.2">
      <c r="A209" s="388"/>
      <c r="B209" s="358"/>
      <c r="C209" s="358"/>
      <c r="D209" s="358"/>
      <c r="E209" s="358"/>
      <c r="F209" s="358"/>
      <c r="G209" s="358"/>
      <c r="H209" s="358"/>
      <c r="I209" s="358"/>
      <c r="J209" s="358"/>
      <c r="K209" s="358"/>
      <c r="L209" s="358"/>
      <c r="M209" s="358"/>
      <c r="N209" s="358"/>
      <c r="O209" s="358"/>
      <c r="P209" s="358"/>
      <c r="Q209" s="358"/>
      <c r="R209" s="358"/>
      <c r="S209" s="358"/>
      <c r="T209" s="358"/>
      <c r="U209" s="358"/>
      <c r="V209" s="358"/>
      <c r="W209" s="358"/>
      <c r="X209" s="358"/>
      <c r="Y209" s="358"/>
      <c r="Z209" s="358"/>
      <c r="AA209" s="358"/>
      <c r="AB209" s="358"/>
    </row>
    <row r="210" spans="1:28" ht="14.25" customHeight="1" x14ac:dyDescent="0.2">
      <c r="A210" s="388"/>
      <c r="B210" s="358"/>
      <c r="C210" s="358"/>
      <c r="D210" s="358"/>
      <c r="E210" s="358"/>
      <c r="F210" s="358"/>
      <c r="G210" s="358"/>
      <c r="H210" s="358"/>
      <c r="I210" s="358"/>
      <c r="J210" s="358"/>
      <c r="K210" s="358"/>
      <c r="L210" s="358"/>
      <c r="M210" s="358"/>
      <c r="N210" s="358"/>
      <c r="O210" s="358"/>
      <c r="P210" s="358"/>
      <c r="Q210" s="358"/>
      <c r="R210" s="358"/>
      <c r="S210" s="358"/>
      <c r="T210" s="358"/>
      <c r="U210" s="358"/>
      <c r="V210" s="358"/>
      <c r="W210" s="358"/>
      <c r="X210" s="358"/>
      <c r="Y210" s="358"/>
      <c r="Z210" s="358"/>
      <c r="AA210" s="358"/>
      <c r="AB210" s="358"/>
    </row>
    <row r="211" spans="1:28" ht="14.25" customHeight="1" x14ac:dyDescent="0.2">
      <c r="A211" s="388"/>
      <c r="B211" s="358"/>
      <c r="C211" s="358"/>
      <c r="D211" s="358"/>
      <c r="E211" s="358"/>
      <c r="F211" s="358"/>
      <c r="G211" s="358"/>
      <c r="H211" s="358"/>
      <c r="I211" s="358"/>
      <c r="J211" s="358"/>
      <c r="K211" s="358"/>
      <c r="L211" s="358"/>
      <c r="M211" s="358"/>
      <c r="N211" s="358"/>
      <c r="O211" s="358"/>
      <c r="P211" s="358"/>
      <c r="Q211" s="358"/>
      <c r="R211" s="358"/>
      <c r="S211" s="358"/>
      <c r="T211" s="358"/>
      <c r="U211" s="358"/>
      <c r="V211" s="358"/>
      <c r="W211" s="358"/>
      <c r="X211" s="358"/>
      <c r="Y211" s="358"/>
      <c r="Z211" s="358"/>
      <c r="AA211" s="358"/>
      <c r="AB211" s="358"/>
    </row>
    <row r="212" spans="1:28" ht="14.25" customHeight="1" x14ac:dyDescent="0.2">
      <c r="A212" s="388"/>
      <c r="B212" s="358"/>
      <c r="C212" s="358"/>
      <c r="D212" s="358"/>
      <c r="E212" s="358"/>
      <c r="F212" s="358"/>
      <c r="G212" s="358"/>
      <c r="H212" s="358"/>
      <c r="I212" s="358"/>
      <c r="J212" s="358"/>
      <c r="K212" s="358"/>
      <c r="L212" s="358"/>
      <c r="M212" s="358"/>
      <c r="N212" s="358"/>
      <c r="O212" s="358"/>
      <c r="P212" s="358"/>
      <c r="Q212" s="358"/>
      <c r="R212" s="358"/>
      <c r="S212" s="358"/>
      <c r="T212" s="358"/>
      <c r="U212" s="358"/>
      <c r="V212" s="358"/>
      <c r="W212" s="358"/>
      <c r="X212" s="358"/>
      <c r="Y212" s="358"/>
      <c r="Z212" s="358"/>
      <c r="AA212" s="358"/>
      <c r="AB212" s="358"/>
    </row>
    <row r="213" spans="1:28" ht="14.25" customHeight="1" x14ac:dyDescent="0.2">
      <c r="A213" s="388"/>
      <c r="B213" s="358"/>
      <c r="C213" s="358"/>
      <c r="D213" s="358"/>
      <c r="E213" s="358"/>
      <c r="F213" s="358"/>
      <c r="G213" s="358"/>
      <c r="H213" s="358"/>
      <c r="I213" s="358"/>
      <c r="J213" s="358"/>
      <c r="K213" s="358"/>
      <c r="L213" s="358"/>
      <c r="M213" s="358"/>
      <c r="N213" s="358"/>
      <c r="O213" s="358"/>
      <c r="P213" s="358"/>
      <c r="Q213" s="358"/>
      <c r="R213" s="358"/>
      <c r="S213" s="358"/>
      <c r="T213" s="358"/>
      <c r="U213" s="358"/>
      <c r="V213" s="358"/>
      <c r="W213" s="358"/>
      <c r="X213" s="358"/>
      <c r="Y213" s="358"/>
      <c r="Z213" s="358"/>
      <c r="AA213" s="358"/>
      <c r="AB213" s="358"/>
    </row>
    <row r="214" spans="1:28" ht="14.25" customHeight="1" x14ac:dyDescent="0.2">
      <c r="A214" s="388"/>
      <c r="B214" s="358"/>
      <c r="C214" s="358"/>
      <c r="D214" s="358"/>
      <c r="E214" s="358"/>
      <c r="F214" s="358"/>
      <c r="G214" s="358"/>
      <c r="H214" s="358"/>
      <c r="I214" s="358"/>
      <c r="J214" s="358"/>
      <c r="K214" s="358"/>
      <c r="L214" s="358"/>
      <c r="M214" s="358"/>
      <c r="N214" s="358"/>
      <c r="O214" s="358"/>
      <c r="P214" s="358"/>
      <c r="Q214" s="358"/>
      <c r="R214" s="358"/>
      <c r="S214" s="358"/>
      <c r="T214" s="358"/>
      <c r="U214" s="358"/>
      <c r="V214" s="358"/>
      <c r="W214" s="358"/>
      <c r="X214" s="358"/>
      <c r="Y214" s="358"/>
      <c r="Z214" s="358"/>
      <c r="AA214" s="358"/>
      <c r="AB214" s="358"/>
    </row>
    <row r="215" spans="1:28" ht="14.25" customHeight="1" x14ac:dyDescent="0.2">
      <c r="A215" s="388"/>
      <c r="B215" s="358"/>
      <c r="C215" s="358"/>
      <c r="D215" s="358"/>
      <c r="E215" s="358"/>
      <c r="F215" s="358"/>
      <c r="G215" s="358"/>
      <c r="H215" s="358"/>
      <c r="I215" s="358"/>
      <c r="J215" s="358"/>
      <c r="K215" s="358"/>
      <c r="L215" s="358"/>
      <c r="M215" s="358"/>
      <c r="N215" s="358"/>
      <c r="O215" s="358"/>
      <c r="P215" s="358"/>
      <c r="Q215" s="358"/>
      <c r="R215" s="358"/>
      <c r="S215" s="358"/>
      <c r="T215" s="358"/>
      <c r="U215" s="358"/>
      <c r="V215" s="358"/>
      <c r="W215" s="358"/>
      <c r="X215" s="358"/>
      <c r="Y215" s="358"/>
      <c r="Z215" s="358"/>
      <c r="AA215" s="358"/>
      <c r="AB215" s="358"/>
    </row>
    <row r="216" spans="1:28" ht="14.25" customHeight="1" x14ac:dyDescent="0.2">
      <c r="A216" s="388"/>
      <c r="B216" s="358"/>
      <c r="C216" s="358"/>
      <c r="D216" s="358"/>
      <c r="E216" s="358"/>
      <c r="F216" s="358"/>
      <c r="G216" s="358"/>
      <c r="H216" s="358"/>
      <c r="I216" s="358"/>
      <c r="J216" s="358"/>
      <c r="K216" s="358"/>
      <c r="L216" s="358"/>
      <c r="M216" s="358"/>
      <c r="N216" s="358"/>
      <c r="O216" s="358"/>
      <c r="P216" s="358"/>
      <c r="Q216" s="358"/>
      <c r="R216" s="358"/>
      <c r="S216" s="358"/>
      <c r="T216" s="358"/>
      <c r="U216" s="358"/>
      <c r="V216" s="358"/>
      <c r="W216" s="358"/>
      <c r="X216" s="358"/>
      <c r="Y216" s="358"/>
      <c r="Z216" s="358"/>
      <c r="AA216" s="358"/>
      <c r="AB216" s="358"/>
    </row>
    <row r="217" spans="1:28" ht="14.25" customHeight="1" x14ac:dyDescent="0.2">
      <c r="A217" s="388"/>
      <c r="B217" s="358"/>
      <c r="C217" s="358"/>
      <c r="D217" s="358"/>
      <c r="E217" s="358"/>
      <c r="F217" s="358"/>
      <c r="G217" s="358"/>
      <c r="H217" s="358"/>
      <c r="I217" s="358"/>
      <c r="J217" s="358"/>
      <c r="K217" s="358"/>
      <c r="L217" s="358"/>
      <c r="M217" s="358"/>
      <c r="N217" s="358"/>
      <c r="O217" s="358"/>
      <c r="P217" s="358"/>
      <c r="Q217" s="358"/>
      <c r="R217" s="358"/>
      <c r="S217" s="358"/>
      <c r="T217" s="358"/>
      <c r="U217" s="358"/>
      <c r="V217" s="358"/>
      <c r="W217" s="358"/>
      <c r="X217" s="358"/>
      <c r="Y217" s="358"/>
      <c r="Z217" s="358"/>
      <c r="AA217" s="358"/>
      <c r="AB217" s="358"/>
    </row>
    <row r="218" spans="1:28" ht="14.25" customHeight="1" x14ac:dyDescent="0.2">
      <c r="A218" s="388"/>
      <c r="B218" s="358"/>
      <c r="C218" s="358"/>
      <c r="D218" s="358"/>
      <c r="E218" s="358"/>
      <c r="F218" s="358"/>
      <c r="G218" s="358"/>
      <c r="H218" s="358"/>
      <c r="I218" s="358"/>
      <c r="J218" s="358"/>
      <c r="K218" s="358"/>
      <c r="L218" s="358"/>
      <c r="M218" s="358"/>
      <c r="N218" s="358"/>
      <c r="O218" s="358"/>
      <c r="P218" s="358"/>
      <c r="Q218" s="358"/>
      <c r="R218" s="358"/>
      <c r="S218" s="358"/>
      <c r="T218" s="358"/>
      <c r="U218" s="358"/>
      <c r="V218" s="358"/>
      <c r="W218" s="358"/>
      <c r="X218" s="358"/>
      <c r="Y218" s="358"/>
      <c r="Z218" s="358"/>
      <c r="AA218" s="358"/>
      <c r="AB218" s="358"/>
    </row>
    <row r="219" spans="1:28" ht="14.25" customHeight="1" x14ac:dyDescent="0.2">
      <c r="A219" s="388"/>
      <c r="B219" s="358"/>
      <c r="C219" s="358"/>
      <c r="D219" s="358"/>
      <c r="E219" s="358"/>
      <c r="F219" s="358"/>
      <c r="G219" s="358"/>
      <c r="H219" s="358"/>
      <c r="I219" s="358"/>
      <c r="J219" s="358"/>
      <c r="K219" s="358"/>
      <c r="L219" s="358"/>
      <c r="M219" s="358"/>
      <c r="N219" s="358"/>
      <c r="O219" s="358"/>
      <c r="P219" s="358"/>
      <c r="Q219" s="358"/>
      <c r="R219" s="358"/>
      <c r="S219" s="358"/>
      <c r="T219" s="358"/>
      <c r="U219" s="358"/>
      <c r="V219" s="358"/>
      <c r="W219" s="358"/>
      <c r="X219" s="358"/>
      <c r="Y219" s="358"/>
      <c r="Z219" s="358"/>
      <c r="AA219" s="358"/>
      <c r="AB219" s="358"/>
    </row>
    <row r="220" spans="1:28" ht="14.25" customHeight="1" x14ac:dyDescent="0.2">
      <c r="A220" s="388"/>
      <c r="B220" s="358"/>
      <c r="C220" s="358"/>
      <c r="D220" s="358"/>
      <c r="E220" s="358"/>
      <c r="F220" s="358"/>
      <c r="G220" s="358"/>
      <c r="H220" s="358"/>
      <c r="I220" s="358"/>
      <c r="J220" s="358"/>
      <c r="K220" s="358"/>
      <c r="L220" s="358"/>
      <c r="M220" s="358"/>
      <c r="N220" s="358"/>
      <c r="O220" s="358"/>
      <c r="P220" s="358"/>
      <c r="Q220" s="358"/>
      <c r="R220" s="358"/>
      <c r="S220" s="358"/>
      <c r="T220" s="358"/>
      <c r="U220" s="358"/>
      <c r="V220" s="358"/>
      <c r="W220" s="358"/>
      <c r="X220" s="358"/>
      <c r="Y220" s="358"/>
      <c r="Z220" s="358"/>
      <c r="AA220" s="358"/>
      <c r="AB220" s="358"/>
    </row>
    <row r="221" spans="1:28" ht="14.25" customHeight="1" x14ac:dyDescent="0.2">
      <c r="A221" s="388"/>
      <c r="B221" s="358"/>
      <c r="C221" s="358"/>
      <c r="D221" s="358"/>
      <c r="E221" s="358"/>
      <c r="F221" s="358"/>
      <c r="G221" s="358"/>
      <c r="H221" s="358"/>
      <c r="I221" s="358"/>
      <c r="J221" s="358"/>
      <c r="K221" s="358"/>
      <c r="L221" s="358"/>
      <c r="M221" s="358"/>
      <c r="N221" s="358"/>
      <c r="O221" s="358"/>
      <c r="P221" s="358"/>
      <c r="Q221" s="358"/>
      <c r="R221" s="358"/>
      <c r="S221" s="358"/>
      <c r="T221" s="358"/>
      <c r="U221" s="358"/>
      <c r="V221" s="358"/>
      <c r="W221" s="358"/>
      <c r="X221" s="358"/>
      <c r="Y221" s="358"/>
      <c r="Z221" s="358"/>
      <c r="AA221" s="358"/>
      <c r="AB221" s="358"/>
    </row>
    <row r="222" spans="1:28" ht="14.25" customHeight="1" x14ac:dyDescent="0.2">
      <c r="A222" s="388"/>
      <c r="B222" s="358"/>
      <c r="C222" s="358"/>
      <c r="D222" s="358"/>
      <c r="E222" s="358"/>
      <c r="F222" s="358"/>
      <c r="G222" s="358"/>
      <c r="H222" s="358"/>
      <c r="I222" s="358"/>
      <c r="J222" s="358"/>
      <c r="K222" s="358"/>
      <c r="L222" s="358"/>
      <c r="M222" s="358"/>
      <c r="N222" s="358"/>
      <c r="O222" s="358"/>
      <c r="P222" s="358"/>
      <c r="Q222" s="358"/>
      <c r="R222" s="358"/>
      <c r="S222" s="358"/>
      <c r="T222" s="358"/>
      <c r="U222" s="358"/>
      <c r="V222" s="358"/>
      <c r="W222" s="358"/>
      <c r="X222" s="358"/>
      <c r="Y222" s="358"/>
      <c r="Z222" s="358"/>
      <c r="AA222" s="358"/>
      <c r="AB222" s="358"/>
    </row>
    <row r="223" spans="1:28" ht="14.25" customHeight="1" x14ac:dyDescent="0.2">
      <c r="A223" s="388"/>
      <c r="B223" s="358"/>
      <c r="C223" s="358"/>
      <c r="D223" s="358"/>
      <c r="E223" s="358"/>
      <c r="F223" s="358"/>
      <c r="G223" s="358"/>
      <c r="H223" s="358"/>
      <c r="I223" s="358"/>
      <c r="J223" s="358"/>
      <c r="K223" s="358"/>
      <c r="L223" s="358"/>
      <c r="M223" s="358"/>
      <c r="N223" s="358"/>
      <c r="O223" s="358"/>
      <c r="P223" s="358"/>
      <c r="Q223" s="358"/>
      <c r="R223" s="358"/>
      <c r="S223" s="358"/>
      <c r="T223" s="358"/>
      <c r="U223" s="358"/>
      <c r="V223" s="358"/>
      <c r="W223" s="358"/>
      <c r="X223" s="358"/>
      <c r="Y223" s="358"/>
      <c r="Z223" s="358"/>
      <c r="AA223" s="358"/>
      <c r="AB223" s="358"/>
    </row>
    <row r="224" spans="1:28" ht="14.25" customHeight="1" x14ac:dyDescent="0.2">
      <c r="A224" s="388"/>
      <c r="B224" s="358"/>
      <c r="C224" s="358"/>
      <c r="D224" s="358"/>
      <c r="E224" s="358"/>
      <c r="F224" s="358"/>
      <c r="G224" s="358"/>
      <c r="H224" s="358"/>
      <c r="I224" s="358"/>
      <c r="J224" s="358"/>
      <c r="K224" s="358"/>
      <c r="L224" s="358"/>
      <c r="M224" s="358"/>
      <c r="N224" s="358"/>
      <c r="O224" s="358"/>
      <c r="P224" s="358"/>
      <c r="Q224" s="358"/>
      <c r="R224" s="358"/>
      <c r="S224" s="358"/>
      <c r="T224" s="358"/>
      <c r="U224" s="358"/>
      <c r="V224" s="358"/>
      <c r="W224" s="358"/>
      <c r="X224" s="358"/>
      <c r="Y224" s="358"/>
      <c r="Z224" s="358"/>
      <c r="AA224" s="358"/>
      <c r="AB224" s="358"/>
    </row>
    <row r="225" spans="1:28" ht="14.25" customHeight="1" x14ac:dyDescent="0.2">
      <c r="A225" s="388"/>
      <c r="B225" s="358"/>
      <c r="C225" s="358"/>
      <c r="D225" s="358"/>
      <c r="E225" s="358"/>
      <c r="F225" s="358"/>
      <c r="G225" s="358"/>
      <c r="H225" s="358"/>
      <c r="I225" s="358"/>
      <c r="J225" s="358"/>
      <c r="K225" s="358"/>
      <c r="L225" s="358"/>
      <c r="M225" s="358"/>
      <c r="N225" s="358"/>
      <c r="O225" s="358"/>
      <c r="P225" s="358"/>
      <c r="Q225" s="358"/>
      <c r="R225" s="358"/>
      <c r="S225" s="358"/>
      <c r="T225" s="358"/>
      <c r="U225" s="358"/>
      <c r="V225" s="358"/>
      <c r="W225" s="358"/>
      <c r="X225" s="358"/>
      <c r="Y225" s="358"/>
      <c r="Z225" s="358"/>
      <c r="AA225" s="358"/>
      <c r="AB225" s="358"/>
    </row>
    <row r="226" spans="1:28" ht="14.25" customHeight="1" x14ac:dyDescent="0.2">
      <c r="A226" s="388"/>
      <c r="B226" s="358"/>
      <c r="C226" s="358"/>
      <c r="D226" s="358"/>
      <c r="E226" s="358"/>
      <c r="F226" s="358"/>
      <c r="G226" s="358"/>
      <c r="H226" s="358"/>
      <c r="I226" s="358"/>
      <c r="J226" s="358"/>
      <c r="K226" s="358"/>
      <c r="L226" s="358"/>
      <c r="M226" s="358"/>
      <c r="N226" s="358"/>
      <c r="O226" s="358"/>
      <c r="P226" s="358"/>
      <c r="Q226" s="358"/>
      <c r="R226" s="358"/>
      <c r="S226" s="358"/>
      <c r="T226" s="358"/>
      <c r="U226" s="358"/>
      <c r="V226" s="358"/>
      <c r="W226" s="358"/>
      <c r="X226" s="358"/>
      <c r="Y226" s="358"/>
      <c r="Z226" s="358"/>
      <c r="AA226" s="358"/>
      <c r="AB226" s="358"/>
    </row>
    <row r="227" spans="1:28" ht="14.25" customHeight="1" x14ac:dyDescent="0.2">
      <c r="A227" s="388"/>
      <c r="B227" s="358"/>
      <c r="C227" s="358"/>
      <c r="D227" s="358"/>
      <c r="E227" s="358"/>
      <c r="F227" s="358"/>
      <c r="G227" s="358"/>
      <c r="H227" s="358"/>
      <c r="I227" s="358"/>
      <c r="J227" s="358"/>
      <c r="K227" s="358"/>
      <c r="L227" s="358"/>
      <c r="M227" s="358"/>
      <c r="N227" s="358"/>
      <c r="O227" s="358"/>
      <c r="P227" s="358"/>
      <c r="Q227" s="358"/>
      <c r="R227" s="358"/>
      <c r="S227" s="358"/>
      <c r="T227" s="358"/>
      <c r="U227" s="358"/>
      <c r="V227" s="358"/>
      <c r="W227" s="358"/>
      <c r="X227" s="358"/>
      <c r="Y227" s="358"/>
      <c r="Z227" s="358"/>
      <c r="AA227" s="358"/>
      <c r="AB227" s="358"/>
    </row>
    <row r="228" spans="1:28" ht="14.25" customHeight="1" x14ac:dyDescent="0.2">
      <c r="A228" s="388"/>
      <c r="B228" s="358"/>
      <c r="C228" s="358"/>
      <c r="D228" s="358"/>
      <c r="E228" s="358"/>
      <c r="F228" s="358"/>
      <c r="G228" s="358"/>
      <c r="H228" s="358"/>
      <c r="I228" s="358"/>
      <c r="J228" s="358"/>
      <c r="K228" s="358"/>
      <c r="L228" s="358"/>
      <c r="M228" s="358"/>
      <c r="N228" s="358"/>
      <c r="O228" s="358"/>
      <c r="P228" s="358"/>
      <c r="Q228" s="358"/>
      <c r="R228" s="358"/>
      <c r="S228" s="358"/>
      <c r="T228" s="358"/>
      <c r="U228" s="358"/>
      <c r="V228" s="358"/>
      <c r="W228" s="358"/>
      <c r="X228" s="358"/>
      <c r="Y228" s="358"/>
      <c r="Z228" s="358"/>
      <c r="AA228" s="358"/>
      <c r="AB228" s="358"/>
    </row>
    <row r="229" spans="1:28" ht="14.25" customHeight="1" x14ac:dyDescent="0.2">
      <c r="A229" s="388"/>
      <c r="B229" s="358"/>
      <c r="C229" s="358"/>
      <c r="D229" s="358"/>
      <c r="E229" s="358"/>
      <c r="F229" s="358"/>
      <c r="G229" s="358"/>
      <c r="H229" s="358"/>
      <c r="I229" s="358"/>
      <c r="J229" s="358"/>
      <c r="K229" s="358"/>
      <c r="L229" s="358"/>
      <c r="M229" s="358"/>
      <c r="N229" s="358"/>
      <c r="O229" s="358"/>
      <c r="P229" s="358"/>
      <c r="Q229" s="358"/>
      <c r="R229" s="358"/>
      <c r="S229" s="358"/>
      <c r="T229" s="358"/>
      <c r="U229" s="358"/>
      <c r="V229" s="358"/>
      <c r="W229" s="358"/>
      <c r="X229" s="358"/>
      <c r="Y229" s="358"/>
      <c r="Z229" s="358"/>
      <c r="AA229" s="358"/>
      <c r="AB229" s="358"/>
    </row>
    <row r="230" spans="1:28" ht="14.25" customHeight="1" x14ac:dyDescent="0.2">
      <c r="A230" s="388"/>
      <c r="B230" s="358"/>
      <c r="C230" s="358"/>
      <c r="D230" s="358"/>
      <c r="E230" s="358"/>
      <c r="F230" s="358"/>
      <c r="G230" s="358"/>
      <c r="H230" s="358"/>
      <c r="I230" s="358"/>
      <c r="J230" s="358"/>
      <c r="K230" s="358"/>
      <c r="L230" s="358"/>
      <c r="M230" s="358"/>
      <c r="N230" s="358"/>
      <c r="O230" s="358"/>
      <c r="P230" s="358"/>
      <c r="Q230" s="358"/>
      <c r="R230" s="358"/>
      <c r="S230" s="358"/>
      <c r="T230" s="358"/>
      <c r="U230" s="358"/>
      <c r="V230" s="358"/>
      <c r="W230" s="358"/>
      <c r="X230" s="358"/>
      <c r="Y230" s="358"/>
      <c r="Z230" s="358"/>
      <c r="AA230" s="358"/>
      <c r="AB230" s="358"/>
    </row>
    <row r="231" spans="1:28" ht="14.25" customHeight="1" x14ac:dyDescent="0.2">
      <c r="A231" s="388"/>
      <c r="B231" s="358"/>
      <c r="C231" s="358"/>
      <c r="D231" s="358"/>
      <c r="E231" s="358"/>
      <c r="F231" s="358"/>
      <c r="G231" s="358"/>
      <c r="H231" s="358"/>
      <c r="I231" s="358"/>
      <c r="J231" s="358"/>
      <c r="K231" s="358"/>
      <c r="L231" s="358"/>
      <c r="M231" s="358"/>
      <c r="N231" s="358"/>
      <c r="O231" s="358"/>
      <c r="P231" s="358"/>
      <c r="Q231" s="358"/>
      <c r="R231" s="358"/>
      <c r="S231" s="358"/>
      <c r="T231" s="358"/>
      <c r="U231" s="358"/>
      <c r="V231" s="358"/>
      <c r="W231" s="358"/>
      <c r="X231" s="358"/>
      <c r="Y231" s="358"/>
      <c r="Z231" s="358"/>
      <c r="AA231" s="358"/>
      <c r="AB231" s="358"/>
    </row>
    <row r="232" spans="1:28" ht="14.25" customHeight="1" x14ac:dyDescent="0.2">
      <c r="A232" s="388"/>
      <c r="B232" s="358"/>
      <c r="C232" s="358"/>
      <c r="D232" s="358"/>
      <c r="E232" s="358"/>
      <c r="F232" s="358"/>
      <c r="G232" s="358"/>
      <c r="H232" s="358"/>
      <c r="I232" s="358"/>
      <c r="J232" s="358"/>
      <c r="K232" s="358"/>
      <c r="L232" s="358"/>
      <c r="M232" s="358"/>
      <c r="N232" s="358"/>
      <c r="O232" s="358"/>
      <c r="P232" s="358"/>
      <c r="Q232" s="358"/>
      <c r="R232" s="358"/>
      <c r="S232" s="358"/>
      <c r="T232" s="358"/>
      <c r="U232" s="358"/>
      <c r="V232" s="358"/>
      <c r="W232" s="358"/>
      <c r="X232" s="358"/>
      <c r="Y232" s="358"/>
      <c r="Z232" s="358"/>
      <c r="AA232" s="358"/>
      <c r="AB232" s="358"/>
    </row>
    <row r="233" spans="1:28" ht="14.25" customHeight="1" x14ac:dyDescent="0.2">
      <c r="A233" s="388"/>
      <c r="B233" s="358"/>
      <c r="C233" s="358"/>
      <c r="D233" s="358"/>
      <c r="E233" s="358"/>
      <c r="F233" s="358"/>
      <c r="G233" s="358"/>
      <c r="H233" s="358"/>
      <c r="I233" s="358"/>
      <c r="J233" s="358"/>
      <c r="K233" s="358"/>
      <c r="L233" s="358"/>
      <c r="M233" s="358"/>
      <c r="N233" s="358"/>
      <c r="O233" s="358"/>
      <c r="P233" s="358"/>
      <c r="Q233" s="358"/>
      <c r="R233" s="358"/>
      <c r="S233" s="358"/>
      <c r="T233" s="358"/>
      <c r="U233" s="358"/>
      <c r="V233" s="358"/>
      <c r="W233" s="358"/>
      <c r="X233" s="358"/>
      <c r="Y233" s="358"/>
      <c r="Z233" s="358"/>
      <c r="AA233" s="358"/>
      <c r="AB233" s="358"/>
    </row>
    <row r="234" spans="1:28" ht="14.25" customHeight="1" x14ac:dyDescent="0.2">
      <c r="A234" s="388"/>
      <c r="B234" s="358"/>
      <c r="C234" s="358"/>
      <c r="D234" s="358"/>
      <c r="E234" s="358"/>
      <c r="F234" s="358"/>
      <c r="G234" s="358"/>
      <c r="H234" s="358"/>
      <c r="I234" s="358"/>
      <c r="J234" s="358"/>
      <c r="K234" s="358"/>
      <c r="L234" s="358"/>
      <c r="M234" s="358"/>
      <c r="N234" s="358"/>
      <c r="O234" s="358"/>
      <c r="P234" s="358"/>
      <c r="Q234" s="358"/>
      <c r="R234" s="358"/>
      <c r="S234" s="358"/>
      <c r="T234" s="358"/>
      <c r="U234" s="358"/>
      <c r="V234" s="358"/>
      <c r="W234" s="358"/>
      <c r="X234" s="358"/>
      <c r="Y234" s="358"/>
      <c r="Z234" s="358"/>
      <c r="AA234" s="358"/>
      <c r="AB234" s="358"/>
    </row>
    <row r="235" spans="1:28" ht="14.25" customHeight="1" x14ac:dyDescent="0.2">
      <c r="A235" s="388"/>
      <c r="B235" s="358"/>
      <c r="C235" s="358"/>
      <c r="D235" s="358"/>
      <c r="E235" s="358"/>
      <c r="F235" s="358"/>
      <c r="G235" s="358"/>
      <c r="H235" s="358"/>
      <c r="I235" s="358"/>
      <c r="J235" s="358"/>
      <c r="K235" s="358"/>
      <c r="L235" s="358"/>
      <c r="M235" s="358"/>
      <c r="N235" s="358"/>
      <c r="O235" s="358"/>
      <c r="P235" s="358"/>
      <c r="Q235" s="358"/>
      <c r="R235" s="358"/>
      <c r="S235" s="358"/>
      <c r="T235" s="358"/>
      <c r="U235" s="358"/>
      <c r="V235" s="358"/>
      <c r="W235" s="358"/>
      <c r="X235" s="358"/>
      <c r="Y235" s="358"/>
      <c r="Z235" s="358"/>
      <c r="AA235" s="358"/>
      <c r="AB235" s="358"/>
    </row>
    <row r="236" spans="1:28" ht="14.25" customHeight="1" x14ac:dyDescent="0.2">
      <c r="A236" s="388"/>
      <c r="B236" s="358"/>
      <c r="C236" s="358"/>
      <c r="D236" s="358"/>
      <c r="E236" s="358"/>
      <c r="F236" s="358"/>
      <c r="G236" s="358"/>
      <c r="H236" s="358"/>
      <c r="I236" s="358"/>
      <c r="J236" s="358"/>
      <c r="K236" s="358"/>
      <c r="L236" s="358"/>
      <c r="M236" s="358"/>
      <c r="N236" s="358"/>
      <c r="O236" s="358"/>
      <c r="P236" s="358"/>
      <c r="Q236" s="358"/>
      <c r="R236" s="358"/>
      <c r="S236" s="358"/>
      <c r="T236" s="358"/>
      <c r="U236" s="358"/>
      <c r="V236" s="358"/>
      <c r="W236" s="358"/>
      <c r="X236" s="358"/>
      <c r="Y236" s="358"/>
      <c r="Z236" s="358"/>
      <c r="AA236" s="358"/>
      <c r="AB236" s="358"/>
    </row>
    <row r="237" spans="1:28" ht="14.25" customHeight="1" x14ac:dyDescent="0.2">
      <c r="A237" s="388"/>
      <c r="B237" s="358"/>
      <c r="C237" s="358"/>
      <c r="D237" s="358"/>
      <c r="E237" s="358"/>
      <c r="F237" s="358"/>
      <c r="G237" s="358"/>
      <c r="H237" s="358"/>
      <c r="I237" s="358"/>
      <c r="J237" s="358"/>
      <c r="K237" s="358"/>
      <c r="L237" s="358"/>
      <c r="M237" s="358"/>
      <c r="N237" s="358"/>
      <c r="O237" s="358"/>
      <c r="P237" s="358"/>
      <c r="Q237" s="358"/>
      <c r="R237" s="358"/>
      <c r="S237" s="358"/>
      <c r="T237" s="358"/>
      <c r="U237" s="358"/>
      <c r="V237" s="358"/>
      <c r="W237" s="358"/>
      <c r="X237" s="358"/>
      <c r="Y237" s="358"/>
      <c r="Z237" s="358"/>
      <c r="AA237" s="358"/>
      <c r="AB237" s="358"/>
    </row>
    <row r="238" spans="1:28" ht="14.25" customHeight="1" x14ac:dyDescent="0.2">
      <c r="A238" s="388"/>
      <c r="B238" s="358"/>
      <c r="C238" s="358"/>
      <c r="D238" s="358"/>
      <c r="E238" s="358"/>
      <c r="F238" s="358"/>
      <c r="G238" s="358"/>
      <c r="H238" s="358"/>
      <c r="I238" s="358"/>
      <c r="J238" s="358"/>
      <c r="K238" s="358"/>
      <c r="L238" s="358"/>
      <c r="M238" s="358"/>
      <c r="N238" s="358"/>
      <c r="O238" s="358"/>
      <c r="P238" s="358"/>
      <c r="Q238" s="358"/>
      <c r="R238" s="358"/>
      <c r="S238" s="358"/>
      <c r="T238" s="358"/>
      <c r="U238" s="358"/>
      <c r="V238" s="358"/>
      <c r="W238" s="358"/>
      <c r="X238" s="358"/>
      <c r="Y238" s="358"/>
      <c r="Z238" s="358"/>
      <c r="AA238" s="358"/>
      <c r="AB238" s="358"/>
    </row>
    <row r="239" spans="1:28" ht="14.25" customHeight="1" x14ac:dyDescent="0.2">
      <c r="A239" s="388"/>
      <c r="B239" s="358"/>
      <c r="C239" s="358"/>
      <c r="D239" s="358"/>
      <c r="E239" s="358"/>
      <c r="F239" s="358"/>
      <c r="G239" s="358"/>
      <c r="H239" s="358"/>
      <c r="I239" s="358"/>
      <c r="J239" s="358"/>
      <c r="K239" s="358"/>
      <c r="L239" s="358"/>
      <c r="M239" s="358"/>
      <c r="N239" s="358"/>
      <c r="O239" s="358"/>
      <c r="P239" s="358"/>
      <c r="Q239" s="358"/>
      <c r="R239" s="358"/>
      <c r="S239" s="358"/>
      <c r="T239" s="358"/>
      <c r="U239" s="358"/>
      <c r="V239" s="358"/>
      <c r="W239" s="358"/>
      <c r="X239" s="358"/>
      <c r="Y239" s="358"/>
      <c r="Z239" s="358"/>
      <c r="AA239" s="358"/>
      <c r="AB239" s="358"/>
    </row>
    <row r="240" spans="1:28" ht="14.25" customHeight="1" x14ac:dyDescent="0.2">
      <c r="A240" s="388"/>
      <c r="B240" s="358"/>
      <c r="C240" s="358"/>
      <c r="D240" s="358"/>
      <c r="E240" s="358"/>
      <c r="F240" s="358"/>
      <c r="G240" s="358"/>
      <c r="H240" s="358"/>
      <c r="I240" s="358"/>
      <c r="J240" s="358"/>
      <c r="K240" s="358"/>
      <c r="L240" s="358"/>
      <c r="M240" s="358"/>
      <c r="N240" s="358"/>
      <c r="O240" s="358"/>
      <c r="P240" s="358"/>
      <c r="Q240" s="358"/>
      <c r="R240" s="358"/>
      <c r="S240" s="358"/>
      <c r="T240" s="358"/>
      <c r="U240" s="358"/>
      <c r="V240" s="358"/>
      <c r="W240" s="358"/>
      <c r="X240" s="358"/>
      <c r="Y240" s="358"/>
      <c r="Z240" s="358"/>
      <c r="AA240" s="358"/>
      <c r="AB240" s="358"/>
    </row>
    <row r="241" spans="1:28" ht="14.25" customHeight="1" x14ac:dyDescent="0.2">
      <c r="A241" s="388"/>
      <c r="B241" s="358"/>
      <c r="C241" s="358"/>
      <c r="D241" s="358"/>
      <c r="E241" s="358"/>
      <c r="F241" s="358"/>
      <c r="G241" s="358"/>
      <c r="H241" s="358"/>
      <c r="I241" s="358"/>
      <c r="J241" s="358"/>
      <c r="K241" s="358"/>
      <c r="L241" s="358"/>
      <c r="M241" s="358"/>
      <c r="N241" s="358"/>
      <c r="O241" s="358"/>
      <c r="P241" s="358"/>
      <c r="Q241" s="358"/>
      <c r="R241" s="358"/>
      <c r="S241" s="358"/>
      <c r="T241" s="358"/>
      <c r="U241" s="358"/>
      <c r="V241" s="358"/>
      <c r="W241" s="358"/>
      <c r="X241" s="358"/>
      <c r="Y241" s="358"/>
      <c r="Z241" s="358"/>
      <c r="AA241" s="358"/>
      <c r="AB241" s="358"/>
    </row>
    <row r="242" spans="1:28" ht="14.25" customHeight="1" x14ac:dyDescent="0.2">
      <c r="A242" s="388"/>
      <c r="B242" s="358"/>
      <c r="C242" s="358"/>
      <c r="D242" s="358"/>
      <c r="E242" s="358"/>
      <c r="F242" s="358"/>
      <c r="G242" s="358"/>
      <c r="H242" s="358"/>
      <c r="I242" s="358"/>
      <c r="J242" s="358"/>
      <c r="K242" s="358"/>
      <c r="L242" s="358"/>
      <c r="M242" s="358"/>
      <c r="N242" s="358"/>
      <c r="O242" s="358"/>
      <c r="P242" s="358"/>
      <c r="Q242" s="358"/>
      <c r="R242" s="358"/>
      <c r="S242" s="358"/>
      <c r="T242" s="358"/>
      <c r="U242" s="358"/>
      <c r="V242" s="358"/>
      <c r="W242" s="358"/>
      <c r="X242" s="358"/>
      <c r="Y242" s="358"/>
      <c r="Z242" s="358"/>
      <c r="AA242" s="358"/>
      <c r="AB242" s="358"/>
    </row>
    <row r="243" spans="1:28" ht="14.25" customHeight="1" x14ac:dyDescent="0.2">
      <c r="A243" s="388"/>
      <c r="B243" s="358"/>
      <c r="C243" s="358"/>
      <c r="D243" s="358"/>
      <c r="E243" s="358"/>
      <c r="F243" s="358"/>
      <c r="G243" s="358"/>
      <c r="H243" s="358"/>
      <c r="I243" s="358"/>
      <c r="J243" s="358"/>
      <c r="K243" s="358"/>
      <c r="L243" s="358"/>
      <c r="M243" s="358"/>
      <c r="N243" s="358"/>
      <c r="O243" s="358"/>
      <c r="P243" s="358"/>
      <c r="Q243" s="358"/>
      <c r="R243" s="358"/>
      <c r="S243" s="358"/>
      <c r="T243" s="358"/>
      <c r="U243" s="358"/>
      <c r="V243" s="358"/>
      <c r="W243" s="358"/>
      <c r="X243" s="358"/>
      <c r="Y243" s="358"/>
      <c r="Z243" s="358"/>
      <c r="AA243" s="358"/>
      <c r="AB243" s="358"/>
    </row>
    <row r="244" spans="1:28" ht="14.25" customHeight="1" x14ac:dyDescent="0.2">
      <c r="A244" s="388"/>
      <c r="B244" s="358"/>
      <c r="C244" s="358"/>
      <c r="D244" s="358"/>
      <c r="E244" s="358"/>
      <c r="F244" s="358"/>
      <c r="G244" s="358"/>
      <c r="H244" s="358"/>
      <c r="I244" s="358"/>
      <c r="J244" s="358"/>
      <c r="K244" s="358"/>
      <c r="L244" s="358"/>
      <c r="M244" s="358"/>
      <c r="N244" s="358"/>
      <c r="O244" s="358"/>
      <c r="P244" s="358"/>
      <c r="Q244" s="358"/>
      <c r="R244" s="358"/>
      <c r="S244" s="358"/>
      <c r="T244" s="358"/>
      <c r="U244" s="358"/>
      <c r="V244" s="358"/>
      <c r="W244" s="358"/>
      <c r="X244" s="358"/>
      <c r="Y244" s="358"/>
      <c r="Z244" s="358"/>
      <c r="AA244" s="358"/>
      <c r="AB244" s="358"/>
    </row>
    <row r="245" spans="1:28" ht="14.25" customHeight="1" x14ac:dyDescent="0.2">
      <c r="A245" s="388"/>
      <c r="B245" s="358"/>
      <c r="C245" s="358"/>
      <c r="D245" s="358"/>
      <c r="E245" s="358"/>
      <c r="F245" s="358"/>
      <c r="G245" s="358"/>
      <c r="H245" s="358"/>
      <c r="I245" s="358"/>
      <c r="J245" s="358"/>
      <c r="K245" s="358"/>
      <c r="L245" s="358"/>
      <c r="M245" s="358"/>
      <c r="N245" s="358"/>
      <c r="O245" s="358"/>
      <c r="P245" s="358"/>
      <c r="Q245" s="358"/>
      <c r="R245" s="358"/>
      <c r="S245" s="358"/>
      <c r="T245" s="358"/>
      <c r="U245" s="358"/>
      <c r="V245" s="358"/>
      <c r="W245" s="358"/>
      <c r="X245" s="358"/>
      <c r="Y245" s="358"/>
      <c r="Z245" s="358"/>
      <c r="AA245" s="358"/>
      <c r="AB245" s="358"/>
    </row>
    <row r="246" spans="1:28" ht="14.25" customHeight="1" x14ac:dyDescent="0.2">
      <c r="A246" s="388"/>
      <c r="B246" s="358"/>
      <c r="C246" s="358"/>
      <c r="D246" s="358"/>
      <c r="E246" s="358"/>
      <c r="F246" s="358"/>
      <c r="G246" s="358"/>
      <c r="H246" s="358"/>
      <c r="I246" s="358"/>
      <c r="J246" s="358"/>
      <c r="K246" s="358"/>
      <c r="L246" s="358"/>
      <c r="M246" s="358"/>
      <c r="N246" s="358"/>
      <c r="O246" s="358"/>
      <c r="P246" s="358"/>
      <c r="Q246" s="358"/>
      <c r="R246" s="358"/>
      <c r="S246" s="358"/>
      <c r="T246" s="358"/>
      <c r="U246" s="358"/>
      <c r="V246" s="358"/>
      <c r="W246" s="358"/>
      <c r="X246" s="358"/>
      <c r="Y246" s="358"/>
      <c r="Z246" s="358"/>
      <c r="AA246" s="358"/>
      <c r="AB246" s="358"/>
    </row>
    <row r="247" spans="1:28" ht="14.25" customHeight="1" x14ac:dyDescent="0.2">
      <c r="A247" s="388"/>
      <c r="B247" s="358"/>
      <c r="C247" s="358"/>
      <c r="D247" s="358"/>
      <c r="E247" s="358"/>
      <c r="F247" s="358"/>
      <c r="G247" s="358"/>
      <c r="H247" s="358"/>
      <c r="I247" s="358"/>
      <c r="J247" s="358"/>
      <c r="K247" s="358"/>
      <c r="L247" s="358"/>
      <c r="M247" s="358"/>
      <c r="N247" s="358"/>
      <c r="O247" s="358"/>
      <c r="P247" s="358"/>
      <c r="Q247" s="358"/>
      <c r="R247" s="358"/>
      <c r="S247" s="358"/>
      <c r="T247" s="358"/>
      <c r="U247" s="358"/>
      <c r="V247" s="358"/>
      <c r="W247" s="358"/>
      <c r="X247" s="358"/>
      <c r="Y247" s="358"/>
      <c r="Z247" s="358"/>
      <c r="AA247" s="358"/>
      <c r="AB247" s="358"/>
    </row>
    <row r="248" spans="1:28" ht="14.25" customHeight="1" x14ac:dyDescent="0.2">
      <c r="A248" s="388"/>
      <c r="B248" s="358"/>
      <c r="C248" s="358"/>
      <c r="D248" s="358"/>
      <c r="E248" s="358"/>
      <c r="F248" s="358"/>
      <c r="G248" s="358"/>
      <c r="H248" s="358"/>
      <c r="I248" s="358"/>
      <c r="J248" s="358"/>
      <c r="K248" s="358"/>
      <c r="L248" s="358"/>
      <c r="M248" s="358"/>
      <c r="N248" s="358"/>
      <c r="O248" s="358"/>
      <c r="P248" s="358"/>
      <c r="Q248" s="358"/>
      <c r="R248" s="358"/>
      <c r="S248" s="358"/>
      <c r="T248" s="358"/>
      <c r="U248" s="358"/>
      <c r="V248" s="358"/>
      <c r="W248" s="358"/>
      <c r="X248" s="358"/>
      <c r="Y248" s="358"/>
      <c r="Z248" s="358"/>
      <c r="AA248" s="358"/>
      <c r="AB248" s="358"/>
    </row>
    <row r="249" spans="1:28" ht="14.25" customHeight="1" x14ac:dyDescent="0.2">
      <c r="A249" s="388"/>
      <c r="B249" s="358"/>
      <c r="C249" s="358"/>
      <c r="D249" s="358"/>
      <c r="E249" s="358"/>
      <c r="F249" s="358"/>
      <c r="G249" s="358"/>
      <c r="H249" s="358"/>
      <c r="I249" s="358"/>
      <c r="J249" s="358"/>
      <c r="K249" s="358"/>
      <c r="L249" s="358"/>
      <c r="M249" s="358"/>
      <c r="N249" s="358"/>
      <c r="O249" s="358"/>
      <c r="P249" s="358"/>
      <c r="Q249" s="358"/>
      <c r="R249" s="358"/>
      <c r="S249" s="358"/>
      <c r="T249" s="358"/>
      <c r="U249" s="358"/>
      <c r="V249" s="358"/>
      <c r="W249" s="358"/>
      <c r="X249" s="358"/>
      <c r="Y249" s="358"/>
      <c r="Z249" s="358"/>
      <c r="AA249" s="358"/>
      <c r="AB249" s="358"/>
    </row>
    <row r="250" spans="1:28" ht="14.25" customHeight="1" x14ac:dyDescent="0.2">
      <c r="A250" s="388"/>
      <c r="B250" s="358"/>
      <c r="C250" s="358"/>
      <c r="D250" s="358"/>
      <c r="E250" s="358"/>
      <c r="F250" s="358"/>
      <c r="G250" s="358"/>
      <c r="H250" s="358"/>
      <c r="I250" s="358"/>
      <c r="J250" s="358"/>
      <c r="K250" s="358"/>
      <c r="L250" s="358"/>
      <c r="M250" s="358"/>
      <c r="N250" s="358"/>
      <c r="O250" s="358"/>
      <c r="P250" s="358"/>
      <c r="Q250" s="358"/>
      <c r="R250" s="358"/>
      <c r="S250" s="358"/>
      <c r="T250" s="358"/>
      <c r="U250" s="358"/>
      <c r="V250" s="358"/>
      <c r="W250" s="358"/>
      <c r="X250" s="358"/>
      <c r="Y250" s="358"/>
      <c r="Z250" s="358"/>
      <c r="AA250" s="358"/>
      <c r="AB250" s="358"/>
    </row>
    <row r="251" spans="1:28" ht="14.25" customHeight="1" x14ac:dyDescent="0.2">
      <c r="A251" s="388"/>
      <c r="B251" s="358"/>
      <c r="C251" s="358"/>
      <c r="D251" s="358"/>
      <c r="E251" s="358"/>
      <c r="F251" s="358"/>
      <c r="G251" s="358"/>
      <c r="H251" s="358"/>
      <c r="I251" s="358"/>
      <c r="J251" s="358"/>
      <c r="K251" s="358"/>
      <c r="L251" s="358"/>
      <c r="M251" s="358"/>
      <c r="N251" s="358"/>
      <c r="O251" s="358"/>
      <c r="P251" s="358"/>
      <c r="Q251" s="358"/>
      <c r="R251" s="358"/>
      <c r="S251" s="358"/>
      <c r="T251" s="358"/>
      <c r="U251" s="358"/>
      <c r="V251" s="358"/>
      <c r="W251" s="358"/>
      <c r="X251" s="358"/>
      <c r="Y251" s="358"/>
      <c r="Z251" s="358"/>
      <c r="AA251" s="358"/>
      <c r="AB251" s="358"/>
    </row>
    <row r="252" spans="1:28" ht="14.25" customHeight="1" x14ac:dyDescent="0.2">
      <c r="A252" s="388"/>
      <c r="B252" s="358"/>
      <c r="C252" s="358"/>
      <c r="D252" s="358"/>
      <c r="E252" s="358"/>
      <c r="F252" s="358"/>
      <c r="G252" s="358"/>
      <c r="H252" s="358"/>
      <c r="I252" s="358"/>
      <c r="J252" s="358"/>
      <c r="K252" s="358"/>
      <c r="L252" s="358"/>
      <c r="M252" s="358"/>
      <c r="N252" s="358"/>
      <c r="O252" s="358"/>
      <c r="P252" s="358"/>
      <c r="Q252" s="358"/>
      <c r="R252" s="358"/>
      <c r="S252" s="358"/>
      <c r="T252" s="358"/>
      <c r="U252" s="358"/>
      <c r="V252" s="358"/>
      <c r="W252" s="358"/>
      <c r="X252" s="358"/>
      <c r="Y252" s="358"/>
      <c r="Z252" s="358"/>
      <c r="AA252" s="358"/>
      <c r="AB252" s="358"/>
    </row>
    <row r="253" spans="1:28" ht="14.25" customHeight="1" x14ac:dyDescent="0.2">
      <c r="A253" s="388"/>
      <c r="B253" s="358"/>
      <c r="C253" s="358"/>
      <c r="D253" s="358"/>
      <c r="E253" s="358"/>
      <c r="F253" s="358"/>
      <c r="G253" s="358"/>
      <c r="H253" s="358"/>
      <c r="I253" s="358"/>
      <c r="J253" s="358"/>
      <c r="K253" s="358"/>
      <c r="L253" s="358"/>
      <c r="M253" s="358"/>
      <c r="N253" s="358"/>
      <c r="O253" s="358"/>
      <c r="P253" s="358"/>
      <c r="Q253" s="358"/>
      <c r="R253" s="358"/>
      <c r="S253" s="358"/>
      <c r="T253" s="358"/>
      <c r="U253" s="358"/>
      <c r="V253" s="358"/>
      <c r="W253" s="358"/>
      <c r="X253" s="358"/>
      <c r="Y253" s="358"/>
      <c r="Z253" s="358"/>
      <c r="AA253" s="358"/>
      <c r="AB253" s="358"/>
    </row>
    <row r="254" spans="1:28" ht="14.25" customHeight="1" x14ac:dyDescent="0.2">
      <c r="A254" s="388"/>
      <c r="B254" s="358"/>
      <c r="C254" s="358"/>
      <c r="D254" s="358"/>
      <c r="E254" s="358"/>
      <c r="F254" s="358"/>
      <c r="G254" s="358"/>
      <c r="H254" s="358"/>
      <c r="I254" s="358"/>
      <c r="J254" s="358"/>
      <c r="K254" s="358"/>
      <c r="L254" s="358"/>
      <c r="M254" s="358"/>
      <c r="N254" s="358"/>
      <c r="O254" s="358"/>
      <c r="P254" s="358"/>
      <c r="Q254" s="358"/>
      <c r="R254" s="358"/>
      <c r="S254" s="358"/>
      <c r="T254" s="358"/>
      <c r="U254" s="358"/>
      <c r="V254" s="358"/>
      <c r="W254" s="358"/>
      <c r="X254" s="358"/>
      <c r="Y254" s="358"/>
      <c r="Z254" s="358"/>
      <c r="AA254" s="358"/>
      <c r="AB254" s="358"/>
    </row>
    <row r="255" spans="1:28" ht="14.25" customHeight="1" x14ac:dyDescent="0.2">
      <c r="A255" s="388"/>
      <c r="B255" s="358"/>
      <c r="C255" s="358"/>
      <c r="D255" s="358"/>
      <c r="E255" s="358"/>
      <c r="F255" s="358"/>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358"/>
    </row>
    <row r="256" spans="1:28" ht="14.25" customHeight="1" x14ac:dyDescent="0.2">
      <c r="A256" s="388"/>
      <c r="B256" s="358"/>
      <c r="C256" s="358"/>
      <c r="D256" s="358"/>
      <c r="E256" s="358"/>
      <c r="F256" s="358"/>
      <c r="G256" s="358"/>
      <c r="H256" s="358"/>
      <c r="I256" s="358"/>
      <c r="J256" s="358"/>
      <c r="K256" s="358"/>
      <c r="L256" s="358"/>
      <c r="M256" s="358"/>
      <c r="N256" s="358"/>
      <c r="O256" s="358"/>
      <c r="P256" s="358"/>
      <c r="Q256" s="358"/>
      <c r="R256" s="358"/>
      <c r="S256" s="358"/>
      <c r="T256" s="358"/>
      <c r="U256" s="358"/>
      <c r="V256" s="358"/>
      <c r="W256" s="358"/>
      <c r="X256" s="358"/>
      <c r="Y256" s="358"/>
      <c r="Z256" s="358"/>
      <c r="AA256" s="358"/>
      <c r="AB256" s="358"/>
    </row>
    <row r="257" spans="1:28" ht="14.25" customHeight="1" x14ac:dyDescent="0.2">
      <c r="A257" s="388"/>
      <c r="B257" s="358"/>
      <c r="C257" s="358"/>
      <c r="D257" s="358"/>
      <c r="E257" s="358"/>
      <c r="F257" s="358"/>
      <c r="G257" s="358"/>
      <c r="H257" s="358"/>
      <c r="I257" s="358"/>
      <c r="J257" s="358"/>
      <c r="K257" s="358"/>
      <c r="L257" s="358"/>
      <c r="M257" s="358"/>
      <c r="N257" s="358"/>
      <c r="O257" s="358"/>
      <c r="P257" s="358"/>
      <c r="Q257" s="358"/>
      <c r="R257" s="358"/>
      <c r="S257" s="358"/>
      <c r="T257" s="358"/>
      <c r="U257" s="358"/>
      <c r="V257" s="358"/>
      <c r="W257" s="358"/>
      <c r="X257" s="358"/>
      <c r="Y257" s="358"/>
      <c r="Z257" s="358"/>
      <c r="AA257" s="358"/>
      <c r="AB257" s="358"/>
    </row>
    <row r="258" spans="1:28" ht="14.25" customHeight="1" x14ac:dyDescent="0.2">
      <c r="A258" s="388"/>
      <c r="B258" s="358"/>
      <c r="C258" s="358"/>
      <c r="D258" s="358"/>
      <c r="E258" s="358"/>
      <c r="F258" s="358"/>
      <c r="G258" s="358"/>
      <c r="H258" s="358"/>
      <c r="I258" s="358"/>
      <c r="J258" s="358"/>
      <c r="K258" s="358"/>
      <c r="L258" s="358"/>
      <c r="M258" s="358"/>
      <c r="N258" s="358"/>
      <c r="O258" s="358"/>
      <c r="P258" s="358"/>
      <c r="Q258" s="358"/>
      <c r="R258" s="358"/>
      <c r="S258" s="358"/>
      <c r="T258" s="358"/>
      <c r="U258" s="358"/>
      <c r="V258" s="358"/>
      <c r="W258" s="358"/>
      <c r="X258" s="358"/>
      <c r="Y258" s="358"/>
      <c r="Z258" s="358"/>
      <c r="AA258" s="358"/>
      <c r="AB258" s="358"/>
    </row>
    <row r="259" spans="1:28" ht="14.25" customHeight="1" x14ac:dyDescent="0.2">
      <c r="A259" s="388"/>
      <c r="B259" s="358"/>
      <c r="C259" s="358"/>
      <c r="D259" s="358"/>
      <c r="E259" s="358"/>
      <c r="F259" s="358"/>
      <c r="G259" s="358"/>
      <c r="H259" s="358"/>
      <c r="I259" s="358"/>
      <c r="J259" s="358"/>
      <c r="K259" s="358"/>
      <c r="L259" s="358"/>
      <c r="M259" s="358"/>
      <c r="N259" s="358"/>
      <c r="O259" s="358"/>
      <c r="P259" s="358"/>
      <c r="Q259" s="358"/>
      <c r="R259" s="358"/>
      <c r="S259" s="358"/>
      <c r="T259" s="358"/>
      <c r="U259" s="358"/>
      <c r="V259" s="358"/>
      <c r="W259" s="358"/>
      <c r="X259" s="358"/>
      <c r="Y259" s="358"/>
      <c r="Z259" s="358"/>
      <c r="AA259" s="358"/>
      <c r="AB259" s="358"/>
    </row>
    <row r="260" spans="1:28" ht="14.25" customHeight="1" x14ac:dyDescent="0.2">
      <c r="A260" s="388"/>
      <c r="B260" s="358"/>
      <c r="C260" s="358"/>
      <c r="D260" s="358"/>
      <c r="E260" s="358"/>
      <c r="F260" s="358"/>
      <c r="G260" s="358"/>
      <c r="H260" s="358"/>
      <c r="I260" s="358"/>
      <c r="J260" s="358"/>
      <c r="K260" s="358"/>
      <c r="L260" s="358"/>
      <c r="M260" s="358"/>
      <c r="N260" s="358"/>
      <c r="O260" s="358"/>
      <c r="P260" s="358"/>
      <c r="Q260" s="358"/>
      <c r="R260" s="358"/>
      <c r="S260" s="358"/>
      <c r="T260" s="358"/>
      <c r="U260" s="358"/>
      <c r="V260" s="358"/>
      <c r="W260" s="358"/>
      <c r="X260" s="358"/>
      <c r="Y260" s="358"/>
      <c r="Z260" s="358"/>
      <c r="AA260" s="358"/>
      <c r="AB260" s="358"/>
    </row>
    <row r="261" spans="1:28" ht="14.25" customHeight="1" x14ac:dyDescent="0.2">
      <c r="A261" s="388"/>
      <c r="B261" s="358"/>
      <c r="C261" s="358"/>
      <c r="D261" s="358"/>
      <c r="E261" s="358"/>
      <c r="F261" s="358"/>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358"/>
    </row>
    <row r="262" spans="1:28" ht="14.25" customHeight="1" x14ac:dyDescent="0.2">
      <c r="A262" s="388"/>
      <c r="B262" s="358"/>
      <c r="C262" s="358"/>
      <c r="D262" s="358"/>
      <c r="E262" s="358"/>
      <c r="F262" s="358"/>
      <c r="G262" s="358"/>
      <c r="H262" s="358"/>
      <c r="I262" s="358"/>
      <c r="J262" s="358"/>
      <c r="K262" s="358"/>
      <c r="L262" s="358"/>
      <c r="M262" s="358"/>
      <c r="N262" s="358"/>
      <c r="O262" s="358"/>
      <c r="P262" s="358"/>
      <c r="Q262" s="358"/>
      <c r="R262" s="358"/>
      <c r="S262" s="358"/>
      <c r="T262" s="358"/>
      <c r="U262" s="358"/>
      <c r="V262" s="358"/>
      <c r="W262" s="358"/>
      <c r="X262" s="358"/>
      <c r="Y262" s="358"/>
      <c r="Z262" s="358"/>
      <c r="AA262" s="358"/>
      <c r="AB262" s="358"/>
    </row>
    <row r="263" spans="1:28" ht="14.25" customHeight="1" x14ac:dyDescent="0.2">
      <c r="A263" s="388"/>
      <c r="B263" s="358"/>
      <c r="C263" s="358"/>
      <c r="D263" s="358"/>
      <c r="E263" s="358"/>
      <c r="F263" s="358"/>
      <c r="G263" s="358"/>
      <c r="H263" s="358"/>
      <c r="I263" s="358"/>
      <c r="J263" s="358"/>
      <c r="K263" s="358"/>
      <c r="L263" s="358"/>
      <c r="M263" s="358"/>
      <c r="N263" s="358"/>
      <c r="O263" s="358"/>
      <c r="P263" s="358"/>
      <c r="Q263" s="358"/>
      <c r="R263" s="358"/>
      <c r="S263" s="358"/>
      <c r="T263" s="358"/>
      <c r="U263" s="358"/>
      <c r="V263" s="358"/>
      <c r="W263" s="358"/>
      <c r="X263" s="358"/>
      <c r="Y263" s="358"/>
      <c r="Z263" s="358"/>
      <c r="AA263" s="358"/>
      <c r="AB263" s="358"/>
    </row>
    <row r="264" spans="1:28" ht="14.25" customHeight="1" x14ac:dyDescent="0.2">
      <c r="A264" s="388"/>
      <c r="B264" s="358"/>
      <c r="C264" s="358"/>
      <c r="D264" s="358"/>
      <c r="E264" s="358"/>
      <c r="F264" s="358"/>
      <c r="G264" s="358"/>
      <c r="H264" s="358"/>
      <c r="I264" s="358"/>
      <c r="J264" s="358"/>
      <c r="K264" s="358"/>
      <c r="L264" s="358"/>
      <c r="M264" s="358"/>
      <c r="N264" s="358"/>
      <c r="O264" s="358"/>
      <c r="P264" s="358"/>
      <c r="Q264" s="358"/>
      <c r="R264" s="358"/>
      <c r="S264" s="358"/>
      <c r="T264" s="358"/>
      <c r="U264" s="358"/>
      <c r="V264" s="358"/>
      <c r="W264" s="358"/>
      <c r="X264" s="358"/>
      <c r="Y264" s="358"/>
      <c r="Z264" s="358"/>
      <c r="AA264" s="358"/>
      <c r="AB264" s="358"/>
    </row>
    <row r="265" spans="1:28" ht="14.25" customHeight="1" x14ac:dyDescent="0.2">
      <c r="A265" s="388"/>
      <c r="B265" s="358"/>
      <c r="C265" s="358"/>
      <c r="D265" s="358"/>
      <c r="E265" s="358"/>
      <c r="F265" s="358"/>
      <c r="G265" s="358"/>
      <c r="H265" s="358"/>
      <c r="I265" s="358"/>
      <c r="J265" s="358"/>
      <c r="K265" s="358"/>
      <c r="L265" s="358"/>
      <c r="M265" s="358"/>
      <c r="N265" s="358"/>
      <c r="O265" s="358"/>
      <c r="P265" s="358"/>
      <c r="Q265" s="358"/>
      <c r="R265" s="358"/>
      <c r="S265" s="358"/>
      <c r="T265" s="358"/>
      <c r="U265" s="358"/>
      <c r="V265" s="358"/>
      <c r="W265" s="358"/>
      <c r="X265" s="358"/>
      <c r="Y265" s="358"/>
      <c r="Z265" s="358"/>
      <c r="AA265" s="358"/>
      <c r="AB265" s="358"/>
    </row>
    <row r="266" spans="1:28" ht="14.25" customHeight="1" x14ac:dyDescent="0.2">
      <c r="A266" s="388"/>
      <c r="B266" s="358"/>
      <c r="C266" s="358"/>
      <c r="D266" s="358"/>
      <c r="E266" s="358"/>
      <c r="F266" s="358"/>
      <c r="G266" s="358"/>
      <c r="H266" s="358"/>
      <c r="I266" s="358"/>
      <c r="J266" s="358"/>
      <c r="K266" s="358"/>
      <c r="L266" s="358"/>
      <c r="M266" s="358"/>
      <c r="N266" s="358"/>
      <c r="O266" s="358"/>
      <c r="P266" s="358"/>
      <c r="Q266" s="358"/>
      <c r="R266" s="358"/>
      <c r="S266" s="358"/>
      <c r="T266" s="358"/>
      <c r="U266" s="358"/>
      <c r="V266" s="358"/>
      <c r="W266" s="358"/>
      <c r="X266" s="358"/>
      <c r="Y266" s="358"/>
      <c r="Z266" s="358"/>
      <c r="AA266" s="358"/>
      <c r="AB266" s="358"/>
    </row>
    <row r="267" spans="1:28" ht="14.25" customHeight="1" x14ac:dyDescent="0.2">
      <c r="A267" s="388"/>
      <c r="B267" s="358"/>
      <c r="C267" s="358"/>
      <c r="D267" s="358"/>
      <c r="E267" s="358"/>
      <c r="F267" s="358"/>
      <c r="G267" s="358"/>
      <c r="H267" s="358"/>
      <c r="I267" s="358"/>
      <c r="J267" s="358"/>
      <c r="K267" s="358"/>
      <c r="L267" s="358"/>
      <c r="M267" s="358"/>
      <c r="N267" s="358"/>
      <c r="O267" s="358"/>
      <c r="P267" s="358"/>
      <c r="Q267" s="358"/>
      <c r="R267" s="358"/>
      <c r="S267" s="358"/>
      <c r="T267" s="358"/>
      <c r="U267" s="358"/>
      <c r="V267" s="358"/>
      <c r="W267" s="358"/>
      <c r="X267" s="358"/>
      <c r="Y267" s="358"/>
      <c r="Z267" s="358"/>
      <c r="AA267" s="358"/>
      <c r="AB267" s="358"/>
    </row>
    <row r="268" spans="1:28" ht="14.25" customHeight="1" x14ac:dyDescent="0.2">
      <c r="A268" s="388"/>
      <c r="B268" s="358"/>
      <c r="C268" s="358"/>
      <c r="D268" s="358"/>
      <c r="E268" s="358"/>
      <c r="F268" s="358"/>
      <c r="G268" s="358"/>
      <c r="H268" s="358"/>
      <c r="I268" s="358"/>
      <c r="J268" s="358"/>
      <c r="K268" s="358"/>
      <c r="L268" s="358"/>
      <c r="M268" s="358"/>
      <c r="N268" s="358"/>
      <c r="O268" s="358"/>
      <c r="P268" s="358"/>
      <c r="Q268" s="358"/>
      <c r="R268" s="358"/>
      <c r="S268" s="358"/>
      <c r="T268" s="358"/>
      <c r="U268" s="358"/>
      <c r="V268" s="358"/>
      <c r="W268" s="358"/>
      <c r="X268" s="358"/>
      <c r="Y268" s="358"/>
      <c r="Z268" s="358"/>
      <c r="AA268" s="358"/>
      <c r="AB268" s="358"/>
    </row>
    <row r="269" spans="1:28" ht="14.25" customHeight="1" x14ac:dyDescent="0.2">
      <c r="A269" s="388"/>
      <c r="B269" s="358"/>
      <c r="C269" s="358"/>
      <c r="D269" s="358"/>
      <c r="E269" s="358"/>
      <c r="F269" s="358"/>
      <c r="G269" s="358"/>
      <c r="H269" s="358"/>
      <c r="I269" s="358"/>
      <c r="J269" s="358"/>
      <c r="K269" s="358"/>
      <c r="L269" s="358"/>
      <c r="M269" s="358"/>
      <c r="N269" s="358"/>
      <c r="O269" s="358"/>
      <c r="P269" s="358"/>
      <c r="Q269" s="358"/>
      <c r="R269" s="358"/>
      <c r="S269" s="358"/>
      <c r="T269" s="358"/>
      <c r="U269" s="358"/>
      <c r="V269" s="358"/>
      <c r="W269" s="358"/>
      <c r="X269" s="358"/>
      <c r="Y269" s="358"/>
      <c r="Z269" s="358"/>
      <c r="AA269" s="358"/>
      <c r="AB269" s="358"/>
    </row>
    <row r="270" spans="1:28" ht="14.25" customHeight="1" x14ac:dyDescent="0.2">
      <c r="A270" s="388"/>
      <c r="B270" s="358"/>
      <c r="C270" s="358"/>
      <c r="D270" s="358"/>
      <c r="E270" s="358"/>
      <c r="F270" s="358"/>
      <c r="G270" s="358"/>
      <c r="H270" s="358"/>
      <c r="I270" s="358"/>
      <c r="J270" s="358"/>
      <c r="K270" s="358"/>
      <c r="L270" s="358"/>
      <c r="M270" s="358"/>
      <c r="N270" s="358"/>
      <c r="O270" s="358"/>
      <c r="P270" s="358"/>
      <c r="Q270" s="358"/>
      <c r="R270" s="358"/>
      <c r="S270" s="358"/>
      <c r="T270" s="358"/>
      <c r="U270" s="358"/>
      <c r="V270" s="358"/>
      <c r="W270" s="358"/>
      <c r="X270" s="358"/>
      <c r="Y270" s="358"/>
      <c r="Z270" s="358"/>
      <c r="AA270" s="358"/>
      <c r="AB270" s="358"/>
    </row>
    <row r="271" spans="1:28" ht="14.25" customHeight="1" x14ac:dyDescent="0.2">
      <c r="A271" s="388"/>
      <c r="B271" s="358"/>
      <c r="C271" s="358"/>
      <c r="D271" s="358"/>
      <c r="E271" s="358"/>
      <c r="F271" s="358"/>
      <c r="G271" s="358"/>
      <c r="H271" s="358"/>
      <c r="I271" s="358"/>
      <c r="J271" s="358"/>
      <c r="K271" s="358"/>
      <c r="L271" s="358"/>
      <c r="M271" s="358"/>
      <c r="N271" s="358"/>
      <c r="O271" s="358"/>
      <c r="P271" s="358"/>
      <c r="Q271" s="358"/>
      <c r="R271" s="358"/>
      <c r="S271" s="358"/>
      <c r="T271" s="358"/>
      <c r="U271" s="358"/>
      <c r="V271" s="358"/>
      <c r="W271" s="358"/>
      <c r="X271" s="358"/>
      <c r="Y271" s="358"/>
      <c r="Z271" s="358"/>
      <c r="AA271" s="358"/>
      <c r="AB271" s="358"/>
    </row>
    <row r="272" spans="1:28" ht="14.25" customHeight="1" x14ac:dyDescent="0.2">
      <c r="A272" s="388"/>
      <c r="B272" s="358"/>
      <c r="C272" s="358"/>
      <c r="D272" s="358"/>
      <c r="E272" s="358"/>
      <c r="F272" s="358"/>
      <c r="G272" s="358"/>
      <c r="H272" s="358"/>
      <c r="I272" s="358"/>
      <c r="J272" s="358"/>
      <c r="K272" s="358"/>
      <c r="L272" s="358"/>
      <c r="M272" s="358"/>
      <c r="N272" s="358"/>
      <c r="O272" s="358"/>
      <c r="P272" s="358"/>
      <c r="Q272" s="358"/>
      <c r="R272" s="358"/>
      <c r="S272" s="358"/>
      <c r="T272" s="358"/>
      <c r="U272" s="358"/>
      <c r="V272" s="358"/>
      <c r="W272" s="358"/>
      <c r="X272" s="358"/>
      <c r="Y272" s="358"/>
      <c r="Z272" s="358"/>
      <c r="AA272" s="358"/>
      <c r="AB272" s="358"/>
    </row>
    <row r="273" spans="1:28" ht="14.25" customHeight="1" x14ac:dyDescent="0.2">
      <c r="A273" s="388"/>
      <c r="B273" s="358"/>
      <c r="C273" s="358"/>
      <c r="D273" s="358"/>
      <c r="E273" s="358"/>
      <c r="F273" s="358"/>
      <c r="G273" s="358"/>
      <c r="H273" s="358"/>
      <c r="I273" s="358"/>
      <c r="J273" s="358"/>
      <c r="K273" s="358"/>
      <c r="L273" s="358"/>
      <c r="M273" s="358"/>
      <c r="N273" s="358"/>
      <c r="O273" s="358"/>
      <c r="P273" s="358"/>
      <c r="Q273" s="358"/>
      <c r="R273" s="358"/>
      <c r="S273" s="358"/>
      <c r="T273" s="358"/>
      <c r="U273" s="358"/>
      <c r="V273" s="358"/>
      <c r="W273" s="358"/>
      <c r="X273" s="358"/>
      <c r="Y273" s="358"/>
      <c r="Z273" s="358"/>
      <c r="AA273" s="358"/>
      <c r="AB273" s="358"/>
    </row>
    <row r="274" spans="1:28" ht="14.25" customHeight="1" x14ac:dyDescent="0.2">
      <c r="A274" s="388"/>
      <c r="B274" s="358"/>
      <c r="C274" s="358"/>
      <c r="D274" s="358"/>
      <c r="E274" s="358"/>
      <c r="F274" s="358"/>
      <c r="G274" s="358"/>
      <c r="H274" s="358"/>
      <c r="I274" s="358"/>
      <c r="J274" s="358"/>
      <c r="K274" s="358"/>
      <c r="L274" s="358"/>
      <c r="M274" s="358"/>
      <c r="N274" s="358"/>
      <c r="O274" s="358"/>
      <c r="P274" s="358"/>
      <c r="Q274" s="358"/>
      <c r="R274" s="358"/>
      <c r="S274" s="358"/>
      <c r="T274" s="358"/>
      <c r="U274" s="358"/>
      <c r="V274" s="358"/>
      <c r="W274" s="358"/>
      <c r="X274" s="358"/>
      <c r="Y274" s="358"/>
      <c r="Z274" s="358"/>
      <c r="AA274" s="358"/>
      <c r="AB274" s="358"/>
    </row>
    <row r="275" spans="1:28" ht="14.25" customHeight="1" x14ac:dyDescent="0.2">
      <c r="A275" s="388"/>
      <c r="B275" s="358"/>
      <c r="C275" s="358"/>
      <c r="D275" s="358"/>
      <c r="E275" s="358"/>
      <c r="F275" s="358"/>
      <c r="G275" s="358"/>
      <c r="H275" s="358"/>
      <c r="I275" s="358"/>
      <c r="J275" s="358"/>
      <c r="K275" s="358"/>
      <c r="L275" s="358"/>
      <c r="M275" s="358"/>
      <c r="N275" s="358"/>
      <c r="O275" s="358"/>
      <c r="P275" s="358"/>
      <c r="Q275" s="358"/>
      <c r="R275" s="358"/>
      <c r="S275" s="358"/>
      <c r="T275" s="358"/>
      <c r="U275" s="358"/>
      <c r="V275" s="358"/>
      <c r="W275" s="358"/>
      <c r="X275" s="358"/>
      <c r="Y275" s="358"/>
      <c r="Z275" s="358"/>
      <c r="AA275" s="358"/>
      <c r="AB275" s="358"/>
    </row>
    <row r="276" spans="1:28" ht="14.25" customHeight="1" x14ac:dyDescent="0.2">
      <c r="A276" s="388"/>
      <c r="B276" s="358"/>
      <c r="C276" s="358"/>
      <c r="D276" s="358"/>
      <c r="E276" s="358"/>
      <c r="F276" s="358"/>
      <c r="G276" s="358"/>
      <c r="H276" s="358"/>
      <c r="I276" s="358"/>
      <c r="J276" s="358"/>
      <c r="K276" s="358"/>
      <c r="L276" s="358"/>
      <c r="M276" s="358"/>
      <c r="N276" s="358"/>
      <c r="O276" s="358"/>
      <c r="P276" s="358"/>
      <c r="Q276" s="358"/>
      <c r="R276" s="358"/>
      <c r="S276" s="358"/>
      <c r="T276" s="358"/>
      <c r="U276" s="358"/>
      <c r="V276" s="358"/>
      <c r="W276" s="358"/>
      <c r="X276" s="358"/>
      <c r="Y276" s="358"/>
      <c r="Z276" s="358"/>
      <c r="AA276" s="358"/>
      <c r="AB276" s="358"/>
    </row>
    <row r="277" spans="1:28" ht="14.25" customHeight="1" x14ac:dyDescent="0.2">
      <c r="A277" s="270"/>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row>
    <row r="278" spans="1:28" ht="14.25" customHeight="1" x14ac:dyDescent="0.2">
      <c r="A278" s="270"/>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row>
    <row r="279" spans="1:28" ht="14.25" customHeight="1" x14ac:dyDescent="0.2">
      <c r="A279" s="270"/>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row>
    <row r="280" spans="1:28" ht="14.25" customHeight="1" x14ac:dyDescent="0.2">
      <c r="A280" s="270"/>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row>
    <row r="281" spans="1:28" ht="14.25" customHeight="1" x14ac:dyDescent="0.2">
      <c r="A281" s="270"/>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row>
    <row r="282" spans="1:28" ht="14.25" customHeight="1" x14ac:dyDescent="0.2">
      <c r="A282" s="270"/>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row>
    <row r="283" spans="1:28" ht="14.25" customHeight="1" x14ac:dyDescent="0.2">
      <c r="A283" s="270"/>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row>
    <row r="284" spans="1:28" ht="14.25" customHeight="1" x14ac:dyDescent="0.2">
      <c r="A284" s="270"/>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row>
    <row r="285" spans="1:28" ht="14.25" customHeight="1" x14ac:dyDescent="0.2">
      <c r="A285" s="270"/>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row>
    <row r="286" spans="1:28" ht="14.25" customHeight="1" x14ac:dyDescent="0.2">
      <c r="A286" s="270"/>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row>
    <row r="287" spans="1:28" ht="14.25" customHeight="1" x14ac:dyDescent="0.2">
      <c r="A287" s="270"/>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row>
    <row r="288" spans="1:28" ht="14.25" customHeight="1" x14ac:dyDescent="0.2">
      <c r="A288" s="270"/>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row>
    <row r="289" spans="1:28" ht="14.25" customHeight="1" x14ac:dyDescent="0.2">
      <c r="A289" s="270"/>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row>
    <row r="290" spans="1:28" ht="14.25" customHeight="1" x14ac:dyDescent="0.2">
      <c r="A290" s="270"/>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row>
    <row r="291" spans="1:28" ht="14.25" customHeight="1" x14ac:dyDescent="0.2">
      <c r="A291" s="270"/>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row>
    <row r="292" spans="1:28" ht="14.25" customHeight="1" x14ac:dyDescent="0.2">
      <c r="A292" s="270"/>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row>
    <row r="293" spans="1:28" ht="14.25" customHeight="1" x14ac:dyDescent="0.2">
      <c r="A293" s="270"/>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row>
    <row r="294" spans="1:28" ht="14.25" customHeight="1" x14ac:dyDescent="0.2">
      <c r="A294" s="270"/>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row>
    <row r="295" spans="1:28" ht="14.25" customHeight="1" x14ac:dyDescent="0.2">
      <c r="A295" s="270"/>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row>
    <row r="296" spans="1:28" ht="14.25" customHeight="1" x14ac:dyDescent="0.2">
      <c r="A296" s="270"/>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row>
    <row r="297" spans="1:28" ht="14.25" customHeight="1" x14ac:dyDescent="0.2">
      <c r="A297" s="270"/>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row>
    <row r="298" spans="1:28" ht="14.25" customHeight="1" x14ac:dyDescent="0.2">
      <c r="A298" s="270"/>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row>
    <row r="299" spans="1:28" ht="14.25" customHeight="1" x14ac:dyDescent="0.2">
      <c r="A299" s="270"/>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row>
    <row r="300" spans="1:28" ht="14.25" customHeight="1" x14ac:dyDescent="0.2">
      <c r="A300" s="270"/>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row>
    <row r="301" spans="1:28" ht="14.25" customHeight="1" x14ac:dyDescent="0.2">
      <c r="A301" s="270"/>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row>
    <row r="302" spans="1:28" ht="14.25" customHeight="1" x14ac:dyDescent="0.2">
      <c r="A302" s="270"/>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row>
    <row r="303" spans="1:28" ht="14.25" customHeight="1" x14ac:dyDescent="0.2">
      <c r="A303" s="270"/>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row>
    <row r="304" spans="1:28" ht="14.25" customHeight="1" x14ac:dyDescent="0.2">
      <c r="A304" s="270"/>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row>
    <row r="305" spans="1:28" ht="14.25" customHeight="1" x14ac:dyDescent="0.2">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row>
    <row r="306" spans="1:28" ht="14.25" customHeight="1" x14ac:dyDescent="0.2">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row>
    <row r="307" spans="1:28" ht="14.25" customHeight="1" x14ac:dyDescent="0.2">
      <c r="A307" s="270"/>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row>
    <row r="308" spans="1:28" ht="14.25" customHeight="1" x14ac:dyDescent="0.2">
      <c r="A308" s="270"/>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row>
    <row r="309" spans="1:28" ht="14.25" customHeight="1" x14ac:dyDescent="0.2">
      <c r="A309" s="270"/>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row>
    <row r="310" spans="1:28" ht="14.25" customHeight="1" x14ac:dyDescent="0.2">
      <c r="A310" s="270"/>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row>
    <row r="311" spans="1:28" ht="14.25" customHeight="1" x14ac:dyDescent="0.2">
      <c r="A311" s="270"/>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row>
    <row r="312" spans="1:28" ht="14.25" customHeight="1" x14ac:dyDescent="0.2">
      <c r="A312" s="270"/>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row>
    <row r="313" spans="1:28" ht="14.25" customHeight="1" x14ac:dyDescent="0.2">
      <c r="A313" s="270"/>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row>
    <row r="314" spans="1:28" ht="14.25" customHeight="1" x14ac:dyDescent="0.2">
      <c r="A314" s="270"/>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row>
    <row r="315" spans="1:28" ht="14.25" customHeight="1" x14ac:dyDescent="0.2">
      <c r="A315" s="270"/>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row>
    <row r="316" spans="1:28" ht="14.25" customHeight="1" x14ac:dyDescent="0.2">
      <c r="A316" s="270"/>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row>
    <row r="317" spans="1:28" ht="14.25" customHeight="1" x14ac:dyDescent="0.2">
      <c r="A317" s="270"/>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row>
    <row r="318" spans="1:28" ht="14.25" customHeight="1" x14ac:dyDescent="0.2">
      <c r="A318" s="270"/>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row>
    <row r="319" spans="1:28" ht="14.25" customHeight="1" x14ac:dyDescent="0.2">
      <c r="A319" s="270"/>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row>
    <row r="320" spans="1:28" ht="14.25" customHeight="1" x14ac:dyDescent="0.2">
      <c r="A320" s="270"/>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row>
    <row r="321" spans="1:28" ht="14.25" customHeight="1" x14ac:dyDescent="0.2">
      <c r="A321" s="270"/>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row>
    <row r="322" spans="1:28" ht="14.25" customHeight="1" x14ac:dyDescent="0.2">
      <c r="A322" s="270"/>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row>
    <row r="323" spans="1:28" ht="14.25" customHeight="1" x14ac:dyDescent="0.2">
      <c r="A323" s="270"/>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row>
    <row r="324" spans="1:28" ht="14.25" customHeight="1" x14ac:dyDescent="0.2">
      <c r="A324" s="270"/>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row>
    <row r="325" spans="1:28" ht="14.25" customHeight="1" x14ac:dyDescent="0.2">
      <c r="A325" s="270"/>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row>
    <row r="326" spans="1:28" ht="14.25" customHeight="1" x14ac:dyDescent="0.2">
      <c r="A326" s="270"/>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row>
    <row r="327" spans="1:28" ht="14.25" customHeight="1" x14ac:dyDescent="0.2">
      <c r="A327" s="270"/>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row>
    <row r="328" spans="1:28" ht="14.25" customHeight="1" x14ac:dyDescent="0.2">
      <c r="A328" s="270"/>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row>
    <row r="329" spans="1:28" ht="14.25" customHeight="1" x14ac:dyDescent="0.2">
      <c r="A329" s="270"/>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row>
    <row r="330" spans="1:28" ht="14.25" customHeight="1" x14ac:dyDescent="0.2">
      <c r="A330" s="270"/>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row>
    <row r="331" spans="1:28" ht="14.25" customHeight="1" x14ac:dyDescent="0.2">
      <c r="A331" s="270"/>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row>
    <row r="332" spans="1:28" ht="14.25" customHeight="1" x14ac:dyDescent="0.2">
      <c r="A332" s="270"/>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row>
    <row r="333" spans="1:28" ht="14.25" customHeight="1" x14ac:dyDescent="0.2">
      <c r="A333" s="270"/>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row>
    <row r="334" spans="1:28" ht="14.25" customHeight="1" x14ac:dyDescent="0.2">
      <c r="A334" s="270"/>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row>
    <row r="335" spans="1:28" ht="14.25" customHeight="1" x14ac:dyDescent="0.2">
      <c r="A335" s="270"/>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row>
    <row r="336" spans="1:28" ht="14.25" customHeight="1" x14ac:dyDescent="0.2">
      <c r="A336" s="270"/>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row>
    <row r="337" spans="1:28" ht="14.25" customHeight="1" x14ac:dyDescent="0.2">
      <c r="A337" s="270"/>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row>
    <row r="338" spans="1:28" ht="14.25" customHeight="1" x14ac:dyDescent="0.2">
      <c r="A338" s="270"/>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row>
    <row r="339" spans="1:28" ht="14.25" customHeight="1" x14ac:dyDescent="0.2">
      <c r="A339" s="270"/>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row>
    <row r="340" spans="1:28" ht="14.25" customHeight="1" x14ac:dyDescent="0.2">
      <c r="A340" s="270"/>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row>
    <row r="341" spans="1:28" ht="14.25" customHeight="1" x14ac:dyDescent="0.2">
      <c r="A341" s="270"/>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row>
    <row r="342" spans="1:28" ht="14.25" customHeight="1" x14ac:dyDescent="0.2">
      <c r="A342" s="270"/>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row>
    <row r="343" spans="1:28" ht="14.25" customHeight="1" x14ac:dyDescent="0.2">
      <c r="A343" s="270"/>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row>
    <row r="344" spans="1:28" ht="14.25" customHeight="1" x14ac:dyDescent="0.2">
      <c r="A344" s="270"/>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row>
    <row r="345" spans="1:28" ht="14.25" customHeight="1" x14ac:dyDescent="0.2">
      <c r="A345" s="270"/>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row>
    <row r="346" spans="1:28" ht="14.25" customHeight="1" x14ac:dyDescent="0.2">
      <c r="A346" s="270"/>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row>
    <row r="347" spans="1:28" ht="14.25" customHeight="1" x14ac:dyDescent="0.2">
      <c r="A347" s="270"/>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row>
    <row r="348" spans="1:28" ht="14.25" customHeight="1" x14ac:dyDescent="0.2">
      <c r="A348" s="270"/>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row>
    <row r="349" spans="1:28" ht="14.25" customHeight="1" x14ac:dyDescent="0.2">
      <c r="A349" s="270"/>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row>
    <row r="350" spans="1:28" ht="14.25" customHeight="1" x14ac:dyDescent="0.2">
      <c r="A350" s="270"/>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row>
    <row r="351" spans="1:28" ht="14.25" customHeight="1" x14ac:dyDescent="0.2">
      <c r="A351" s="270"/>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row>
    <row r="352" spans="1:28" ht="14.25" customHeight="1" x14ac:dyDescent="0.2">
      <c r="A352" s="270"/>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row>
    <row r="353" spans="1:28" ht="14.25" customHeight="1" x14ac:dyDescent="0.2">
      <c r="A353" s="270"/>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row>
    <row r="354" spans="1:28" ht="14.25" customHeight="1" x14ac:dyDescent="0.2">
      <c r="A354" s="270"/>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row>
    <row r="355" spans="1:28" ht="14.25" customHeight="1" x14ac:dyDescent="0.2">
      <c r="A355" s="270"/>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row>
    <row r="356" spans="1:28" ht="14.25" customHeight="1" x14ac:dyDescent="0.2">
      <c r="A356" s="270"/>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row>
    <row r="357" spans="1:28" ht="14.25" customHeight="1" x14ac:dyDescent="0.2">
      <c r="A357" s="270"/>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row>
    <row r="358" spans="1:28" ht="14.25" customHeight="1" x14ac:dyDescent="0.2">
      <c r="A358" s="270"/>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row>
    <row r="359" spans="1:28" ht="14.25" customHeight="1" x14ac:dyDescent="0.2">
      <c r="A359" s="270"/>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row>
    <row r="360" spans="1:28" ht="14.25" customHeight="1" x14ac:dyDescent="0.2">
      <c r="A360" s="270"/>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row>
    <row r="361" spans="1:28" ht="14.25" customHeight="1" x14ac:dyDescent="0.2">
      <c r="A361" s="270"/>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row>
    <row r="362" spans="1:28" ht="14.25" customHeight="1" x14ac:dyDescent="0.2">
      <c r="A362" s="270"/>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row>
    <row r="363" spans="1:28" ht="14.25" customHeight="1" x14ac:dyDescent="0.2">
      <c r="A363" s="270"/>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row>
    <row r="364" spans="1:28" ht="14.25" customHeight="1" x14ac:dyDescent="0.2">
      <c r="A364" s="270"/>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row>
    <row r="365" spans="1:28" ht="14.25" customHeight="1" x14ac:dyDescent="0.2">
      <c r="A365" s="270"/>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row>
    <row r="366" spans="1:28" ht="14.25" customHeight="1" x14ac:dyDescent="0.2">
      <c r="A366" s="270"/>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row>
    <row r="367" spans="1:28" ht="14.25" customHeight="1" x14ac:dyDescent="0.2">
      <c r="A367" s="270"/>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row>
    <row r="368" spans="1:28" ht="14.25" customHeight="1" x14ac:dyDescent="0.2">
      <c r="A368" s="270"/>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row>
    <row r="369" spans="1:28" ht="14.25" customHeight="1" x14ac:dyDescent="0.2">
      <c r="A369" s="270"/>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row>
    <row r="370" spans="1:28" ht="14.25" customHeight="1" x14ac:dyDescent="0.2">
      <c r="A370" s="270"/>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row>
    <row r="371" spans="1:28" ht="14.25" customHeight="1" x14ac:dyDescent="0.2">
      <c r="A371" s="270"/>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row>
    <row r="372" spans="1:28" ht="14.25" customHeight="1" x14ac:dyDescent="0.2">
      <c r="A372" s="270"/>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row>
    <row r="373" spans="1:28" ht="14.25" customHeight="1" x14ac:dyDescent="0.2">
      <c r="A373" s="270"/>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row>
    <row r="374" spans="1:28" ht="14.25" customHeight="1" x14ac:dyDescent="0.2">
      <c r="A374" s="270"/>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row>
    <row r="375" spans="1:28" ht="14.25" customHeight="1" x14ac:dyDescent="0.2">
      <c r="A375" s="270"/>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row>
    <row r="376" spans="1:28" ht="14.25" customHeight="1" x14ac:dyDescent="0.2">
      <c r="A376" s="270"/>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row>
    <row r="377" spans="1:28" ht="14.25" customHeight="1" x14ac:dyDescent="0.2">
      <c r="A377" s="270"/>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row>
    <row r="378" spans="1:28" ht="14.25" customHeight="1" x14ac:dyDescent="0.2">
      <c r="A378" s="270"/>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row>
    <row r="379" spans="1:28" ht="14.25" customHeight="1" x14ac:dyDescent="0.2">
      <c r="A379" s="270"/>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row>
    <row r="380" spans="1:28" ht="14.25" customHeight="1" x14ac:dyDescent="0.2">
      <c r="A380" s="270"/>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row>
    <row r="381" spans="1:28" ht="14.25" customHeight="1" x14ac:dyDescent="0.2">
      <c r="A381" s="270"/>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row>
    <row r="382" spans="1:28" ht="14.25" customHeight="1" x14ac:dyDescent="0.2">
      <c r="A382" s="270"/>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row>
    <row r="383" spans="1:28" ht="14.25" customHeight="1" x14ac:dyDescent="0.2">
      <c r="A383" s="270"/>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row>
    <row r="384" spans="1:28" ht="14.25" customHeight="1" x14ac:dyDescent="0.2">
      <c r="A384" s="270"/>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row>
    <row r="385" spans="1:28" ht="14.25" customHeight="1" x14ac:dyDescent="0.2">
      <c r="A385" s="270"/>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row>
    <row r="386" spans="1:28" ht="14.25" customHeight="1" x14ac:dyDescent="0.2">
      <c r="A386" s="270"/>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row>
    <row r="387" spans="1:28" ht="14.25" customHeight="1" x14ac:dyDescent="0.2">
      <c r="A387" s="270"/>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row>
    <row r="388" spans="1:28" ht="14.25" customHeight="1" x14ac:dyDescent="0.2">
      <c r="A388" s="270"/>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row>
    <row r="389" spans="1:28" ht="14.25" customHeight="1" x14ac:dyDescent="0.2">
      <c r="A389" s="270"/>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row>
    <row r="390" spans="1:28" ht="14.25" customHeight="1" x14ac:dyDescent="0.2">
      <c r="A390" s="270"/>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c r="AB390" s="270"/>
    </row>
    <row r="391" spans="1:28" ht="14.25" customHeight="1" x14ac:dyDescent="0.2">
      <c r="A391" s="270"/>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row>
    <row r="392" spans="1:28" ht="14.25" customHeight="1" x14ac:dyDescent="0.2">
      <c r="A392" s="270"/>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c r="AA392" s="270"/>
      <c r="AB392" s="270"/>
    </row>
    <row r="393" spans="1:28" ht="14.25" customHeight="1" x14ac:dyDescent="0.2">
      <c r="A393" s="270"/>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row>
    <row r="394" spans="1:28" ht="14.25" customHeight="1" x14ac:dyDescent="0.2">
      <c r="A394" s="270"/>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row>
    <row r="395" spans="1:28" ht="14.25" customHeight="1" x14ac:dyDescent="0.2">
      <c r="A395" s="270"/>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row>
    <row r="396" spans="1:28" ht="14.25" customHeight="1" x14ac:dyDescent="0.2">
      <c r="A396" s="270"/>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row>
    <row r="397" spans="1:28" ht="14.25" customHeight="1" x14ac:dyDescent="0.2">
      <c r="A397" s="270"/>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row>
    <row r="398" spans="1:28" ht="14.25" customHeight="1" x14ac:dyDescent="0.2">
      <c r="A398" s="270"/>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row>
    <row r="399" spans="1:28" ht="14.25" customHeight="1" x14ac:dyDescent="0.2">
      <c r="A399" s="270"/>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row>
    <row r="400" spans="1:28" ht="14.25" customHeight="1" x14ac:dyDescent="0.2">
      <c r="A400" s="270"/>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row>
    <row r="401" spans="1:28" ht="14.25" customHeight="1" x14ac:dyDescent="0.2">
      <c r="A401" s="270"/>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row>
    <row r="402" spans="1:28" ht="14.25" customHeight="1" x14ac:dyDescent="0.2">
      <c r="A402" s="270"/>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row>
    <row r="403" spans="1:28" ht="14.25" customHeight="1" x14ac:dyDescent="0.2">
      <c r="A403" s="270"/>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row>
    <row r="404" spans="1:28" ht="14.25" customHeight="1" x14ac:dyDescent="0.2">
      <c r="A404" s="270"/>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row>
    <row r="405" spans="1:28" ht="14.25" customHeight="1" x14ac:dyDescent="0.2">
      <c r="A405" s="270"/>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row>
    <row r="406" spans="1:28" ht="14.25" customHeight="1" x14ac:dyDescent="0.2">
      <c r="A406" s="270"/>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row>
    <row r="407" spans="1:28" ht="14.25" customHeight="1" x14ac:dyDescent="0.2">
      <c r="A407" s="270"/>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row>
    <row r="408" spans="1:28" ht="14.25" customHeight="1" x14ac:dyDescent="0.2">
      <c r="A408" s="270"/>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row>
    <row r="409" spans="1:28" ht="14.25" customHeight="1" x14ac:dyDescent="0.2">
      <c r="A409" s="270"/>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row>
    <row r="410" spans="1:28" ht="14.25" customHeight="1" x14ac:dyDescent="0.2">
      <c r="A410" s="270"/>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row>
    <row r="411" spans="1:28" ht="14.25" customHeight="1" x14ac:dyDescent="0.2">
      <c r="A411" s="270"/>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row>
    <row r="412" spans="1:28" ht="14.25" customHeight="1" x14ac:dyDescent="0.2">
      <c r="A412" s="270"/>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row>
    <row r="413" spans="1:28" ht="14.25" customHeight="1" x14ac:dyDescent="0.2">
      <c r="A413" s="270"/>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row>
    <row r="414" spans="1:28" ht="14.25" customHeight="1" x14ac:dyDescent="0.2">
      <c r="A414" s="270"/>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row>
    <row r="415" spans="1:28" ht="14.25" customHeight="1" x14ac:dyDescent="0.2">
      <c r="A415" s="270"/>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row>
    <row r="416" spans="1:28" ht="14.25" customHeight="1" x14ac:dyDescent="0.2">
      <c r="A416" s="270"/>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row>
    <row r="417" spans="1:28" ht="14.25" customHeight="1" x14ac:dyDescent="0.2">
      <c r="A417" s="270"/>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row>
    <row r="418" spans="1:28" ht="14.25" customHeight="1" x14ac:dyDescent="0.2">
      <c r="A418" s="270"/>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row>
    <row r="419" spans="1:28" ht="14.25" customHeight="1" x14ac:dyDescent="0.2">
      <c r="A419" s="270"/>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row>
    <row r="420" spans="1:28" ht="14.25" customHeight="1" x14ac:dyDescent="0.2">
      <c r="A420" s="270"/>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row>
    <row r="421" spans="1:28" ht="14.25" customHeight="1" x14ac:dyDescent="0.2">
      <c r="A421" s="270"/>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row>
    <row r="422" spans="1:28" ht="14.25" customHeight="1" x14ac:dyDescent="0.2">
      <c r="A422" s="270"/>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row>
    <row r="423" spans="1:28" ht="14.25" customHeight="1" x14ac:dyDescent="0.2">
      <c r="A423" s="270"/>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row>
    <row r="424" spans="1:28" ht="14.25" customHeight="1" x14ac:dyDescent="0.2">
      <c r="A424" s="270"/>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row>
    <row r="425" spans="1:28" ht="14.25" customHeight="1" x14ac:dyDescent="0.2">
      <c r="A425" s="270"/>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row>
    <row r="426" spans="1:28" ht="14.25" customHeight="1" x14ac:dyDescent="0.2">
      <c r="A426" s="270"/>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row>
    <row r="427" spans="1:28" ht="14.25" customHeight="1" x14ac:dyDescent="0.2">
      <c r="A427" s="270"/>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row>
    <row r="428" spans="1:28" ht="14.25" customHeight="1" x14ac:dyDescent="0.2">
      <c r="A428" s="270"/>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row>
    <row r="429" spans="1:28" ht="14.25" customHeight="1" x14ac:dyDescent="0.2">
      <c r="A429" s="270"/>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row>
    <row r="430" spans="1:28" ht="14.25" customHeight="1" x14ac:dyDescent="0.2">
      <c r="A430" s="270"/>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row>
    <row r="431" spans="1:28" ht="14.25" customHeight="1" x14ac:dyDescent="0.2">
      <c r="A431" s="270"/>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row>
    <row r="432" spans="1:28" ht="14.25" customHeight="1" x14ac:dyDescent="0.2">
      <c r="A432" s="270"/>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row>
    <row r="433" spans="1:28" ht="14.25" customHeight="1" x14ac:dyDescent="0.2">
      <c r="A433" s="270"/>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row>
    <row r="434" spans="1:28" ht="14.25" customHeight="1" x14ac:dyDescent="0.2">
      <c r="A434" s="270"/>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row>
    <row r="435" spans="1:28" ht="14.25" customHeight="1" x14ac:dyDescent="0.2">
      <c r="A435" s="270"/>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row>
    <row r="436" spans="1:28" ht="14.25" customHeight="1" x14ac:dyDescent="0.2">
      <c r="A436" s="270"/>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row>
    <row r="437" spans="1:28" ht="14.25" customHeight="1" x14ac:dyDescent="0.2">
      <c r="A437" s="270"/>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row>
    <row r="438" spans="1:28" ht="14.25" customHeight="1" x14ac:dyDescent="0.2">
      <c r="A438" s="270"/>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row>
    <row r="439" spans="1:28" ht="14.25" customHeight="1" x14ac:dyDescent="0.2">
      <c r="A439" s="270"/>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row>
    <row r="440" spans="1:28" ht="14.25" customHeight="1" x14ac:dyDescent="0.2">
      <c r="A440" s="270"/>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row>
    <row r="441" spans="1:28" ht="14.25" customHeight="1" x14ac:dyDescent="0.2">
      <c r="A441" s="270"/>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row>
    <row r="442" spans="1:28" ht="14.25" customHeight="1" x14ac:dyDescent="0.2">
      <c r="A442" s="270"/>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row>
    <row r="443" spans="1:28" ht="14.25" customHeight="1" x14ac:dyDescent="0.2">
      <c r="A443" s="270"/>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row>
    <row r="444" spans="1:28" ht="14.25" customHeight="1" x14ac:dyDescent="0.2">
      <c r="A444" s="270"/>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row>
    <row r="445" spans="1:28" ht="14.25" customHeight="1" x14ac:dyDescent="0.2">
      <c r="A445" s="270"/>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row>
    <row r="446" spans="1:28" ht="14.25" customHeight="1" x14ac:dyDescent="0.2">
      <c r="A446" s="270"/>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row>
    <row r="447" spans="1:28" ht="14.25" customHeight="1" x14ac:dyDescent="0.2">
      <c r="A447" s="270"/>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row>
    <row r="448" spans="1:28" ht="14.25" customHeight="1" x14ac:dyDescent="0.2">
      <c r="A448" s="270"/>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row>
    <row r="449" spans="1:28" ht="14.25" customHeight="1" x14ac:dyDescent="0.2">
      <c r="A449" s="270"/>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row>
    <row r="450" spans="1:28" ht="14.25" customHeight="1" x14ac:dyDescent="0.2">
      <c r="A450" s="270"/>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row>
    <row r="451" spans="1:28" ht="14.25" customHeight="1" x14ac:dyDescent="0.2">
      <c r="A451" s="270"/>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row>
    <row r="452" spans="1:28" ht="14.25" customHeight="1" x14ac:dyDescent="0.2">
      <c r="A452" s="270"/>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row>
    <row r="453" spans="1:28" ht="14.25" customHeight="1" x14ac:dyDescent="0.2">
      <c r="A453" s="270"/>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c r="AB453" s="270"/>
    </row>
    <row r="454" spans="1:28" ht="14.25" customHeight="1" x14ac:dyDescent="0.2">
      <c r="A454" s="270"/>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row>
    <row r="455" spans="1:28" ht="14.25" customHeight="1" x14ac:dyDescent="0.2">
      <c r="A455" s="270"/>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c r="AA455" s="270"/>
      <c r="AB455" s="270"/>
    </row>
    <row r="456" spans="1:28" ht="14.25" customHeight="1" x14ac:dyDescent="0.2">
      <c r="A456" s="270"/>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c r="AA456" s="270"/>
      <c r="AB456" s="270"/>
    </row>
    <row r="457" spans="1:28" ht="14.25" customHeight="1" x14ac:dyDescent="0.2">
      <c r="A457" s="270"/>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row>
    <row r="458" spans="1:28" ht="14.25" customHeight="1" x14ac:dyDescent="0.2">
      <c r="A458" s="270"/>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row>
    <row r="459" spans="1:28" ht="14.25" customHeight="1" x14ac:dyDescent="0.2">
      <c r="A459" s="270"/>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row>
    <row r="460" spans="1:28" ht="14.25" customHeight="1" x14ac:dyDescent="0.2">
      <c r="A460" s="270"/>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row>
    <row r="461" spans="1:28" ht="14.25" customHeight="1" x14ac:dyDescent="0.2">
      <c r="A461" s="270"/>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row>
    <row r="462" spans="1:28" ht="14.25" customHeight="1" x14ac:dyDescent="0.2">
      <c r="A462" s="270"/>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row>
    <row r="463" spans="1:28" ht="14.25" customHeight="1" x14ac:dyDescent="0.2">
      <c r="A463" s="270"/>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row>
    <row r="464" spans="1:28" ht="14.25" customHeight="1" x14ac:dyDescent="0.2">
      <c r="A464" s="270"/>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row>
    <row r="465" spans="1:28" ht="14.25" customHeight="1" x14ac:dyDescent="0.2">
      <c r="A465" s="270"/>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row>
    <row r="466" spans="1:28" ht="14.25" customHeight="1" x14ac:dyDescent="0.2">
      <c r="A466" s="270"/>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row>
    <row r="467" spans="1:28" ht="14.25" customHeight="1" x14ac:dyDescent="0.2">
      <c r="A467" s="270"/>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row>
    <row r="468" spans="1:28" ht="14.25" customHeight="1" x14ac:dyDescent="0.2">
      <c r="A468" s="270"/>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row>
    <row r="469" spans="1:28" ht="14.25" customHeight="1" x14ac:dyDescent="0.2">
      <c r="A469" s="270"/>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row>
    <row r="470" spans="1:28" ht="14.25" customHeight="1" x14ac:dyDescent="0.2">
      <c r="A470" s="270"/>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row>
    <row r="471" spans="1:28" ht="14.25" customHeight="1" x14ac:dyDescent="0.2">
      <c r="A471" s="270"/>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row>
    <row r="472" spans="1:28" ht="14.25" customHeight="1" x14ac:dyDescent="0.2">
      <c r="A472" s="270"/>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row>
    <row r="473" spans="1:28" ht="14.25" customHeight="1" x14ac:dyDescent="0.2">
      <c r="A473" s="270"/>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row>
    <row r="474" spans="1:28" ht="14.25" customHeight="1" x14ac:dyDescent="0.2">
      <c r="A474" s="270"/>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row>
    <row r="475" spans="1:28" ht="14.25" customHeight="1" x14ac:dyDescent="0.2">
      <c r="A475" s="270"/>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row>
    <row r="476" spans="1:28" ht="14.25" customHeight="1" x14ac:dyDescent="0.2">
      <c r="A476" s="270"/>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row>
    <row r="477" spans="1:28" ht="14.25" customHeight="1" x14ac:dyDescent="0.2">
      <c r="A477" s="270"/>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row>
    <row r="478" spans="1:28" ht="14.25" customHeight="1" x14ac:dyDescent="0.2">
      <c r="A478" s="270"/>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row>
    <row r="479" spans="1:28" ht="14.25" customHeight="1" x14ac:dyDescent="0.2">
      <c r="A479" s="270"/>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row>
    <row r="480" spans="1:28" ht="14.25" customHeight="1" x14ac:dyDescent="0.2">
      <c r="A480" s="270"/>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row>
    <row r="481" spans="1:28" ht="14.25" customHeight="1" x14ac:dyDescent="0.2">
      <c r="A481" s="270"/>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c r="AA481" s="270"/>
      <c r="AB481" s="270"/>
    </row>
    <row r="482" spans="1:28" ht="14.25" customHeight="1" x14ac:dyDescent="0.2">
      <c r="A482" s="270"/>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row>
    <row r="483" spans="1:28" ht="14.25" customHeight="1" x14ac:dyDescent="0.2">
      <c r="A483" s="270"/>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row>
    <row r="484" spans="1:28" ht="14.25" customHeight="1" x14ac:dyDescent="0.2">
      <c r="A484" s="270"/>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row>
    <row r="485" spans="1:28" ht="14.25" customHeight="1" x14ac:dyDescent="0.2">
      <c r="A485" s="270"/>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row>
    <row r="486" spans="1:28" ht="14.25" customHeight="1" x14ac:dyDescent="0.2">
      <c r="A486" s="270"/>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row>
    <row r="487" spans="1:28" ht="14.25" customHeight="1" x14ac:dyDescent="0.2">
      <c r="A487" s="270"/>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row>
    <row r="488" spans="1:28" ht="14.25" customHeight="1" x14ac:dyDescent="0.2">
      <c r="A488" s="270"/>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row>
    <row r="489" spans="1:28" ht="14.25" customHeight="1" x14ac:dyDescent="0.2">
      <c r="A489" s="270"/>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row>
    <row r="490" spans="1:28" ht="14.25" customHeight="1" x14ac:dyDescent="0.2">
      <c r="A490" s="270"/>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row>
    <row r="491" spans="1:28" ht="14.25" customHeight="1" x14ac:dyDescent="0.2">
      <c r="A491" s="270"/>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row>
    <row r="492" spans="1:28" ht="14.25" customHeight="1" x14ac:dyDescent="0.2">
      <c r="A492" s="270"/>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row>
    <row r="493" spans="1:28" ht="14.25" customHeight="1" x14ac:dyDescent="0.2">
      <c r="A493" s="270"/>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row>
    <row r="494" spans="1:28" ht="14.25" customHeight="1" x14ac:dyDescent="0.2">
      <c r="A494" s="270"/>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row>
    <row r="495" spans="1:28" ht="14.25" customHeight="1" x14ac:dyDescent="0.2">
      <c r="A495" s="270"/>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row>
    <row r="496" spans="1:28" ht="14.25" customHeight="1" x14ac:dyDescent="0.2">
      <c r="A496" s="270"/>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row>
    <row r="497" spans="1:28" ht="14.25" customHeight="1" x14ac:dyDescent="0.2">
      <c r="A497" s="270"/>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row>
    <row r="498" spans="1:28" ht="14.25" customHeight="1" x14ac:dyDescent="0.2">
      <c r="A498" s="270"/>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row>
    <row r="499" spans="1:28" ht="14.25" customHeight="1" x14ac:dyDescent="0.2">
      <c r="A499" s="270"/>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row>
    <row r="500" spans="1:28" ht="14.25" customHeight="1" x14ac:dyDescent="0.2">
      <c r="A500" s="270"/>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c r="AA500" s="270"/>
      <c r="AB500" s="270"/>
    </row>
    <row r="501" spans="1:28" ht="14.25" customHeight="1" x14ac:dyDescent="0.2">
      <c r="A501" s="270"/>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row>
    <row r="502" spans="1:28" ht="14.25" customHeight="1" x14ac:dyDescent="0.2">
      <c r="A502" s="270"/>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row>
    <row r="503" spans="1:28" ht="14.25" customHeight="1" x14ac:dyDescent="0.2">
      <c r="A503" s="270"/>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row>
    <row r="504" spans="1:28" ht="14.25" customHeight="1" x14ac:dyDescent="0.2">
      <c r="A504" s="270"/>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row>
    <row r="505" spans="1:28" ht="14.25" customHeight="1" x14ac:dyDescent="0.2">
      <c r="A505" s="270"/>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row>
    <row r="506" spans="1:28" ht="14.25" customHeight="1" x14ac:dyDescent="0.2">
      <c r="A506" s="270"/>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row>
    <row r="507" spans="1:28" ht="14.25" customHeight="1" x14ac:dyDescent="0.2">
      <c r="A507" s="270"/>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row>
    <row r="508" spans="1:28" ht="14.25" customHeight="1" x14ac:dyDescent="0.2">
      <c r="A508" s="270"/>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row>
    <row r="509" spans="1:28" ht="14.25" customHeight="1" x14ac:dyDescent="0.2">
      <c r="A509" s="270"/>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row>
    <row r="510" spans="1:28" ht="14.25" customHeight="1" x14ac:dyDescent="0.2">
      <c r="A510" s="270"/>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row>
    <row r="511" spans="1:28" ht="14.25" customHeight="1" x14ac:dyDescent="0.2">
      <c r="A511" s="270"/>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row>
    <row r="512" spans="1:28" ht="14.25" customHeight="1" x14ac:dyDescent="0.2">
      <c r="A512" s="270"/>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row>
    <row r="513" spans="1:28" ht="14.25" customHeight="1" x14ac:dyDescent="0.2">
      <c r="A513" s="270"/>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row>
    <row r="514" spans="1:28" ht="14.25" customHeight="1" x14ac:dyDescent="0.2">
      <c r="A514" s="270"/>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c r="AA514" s="270"/>
      <c r="AB514" s="270"/>
    </row>
    <row r="515" spans="1:28" ht="14.25" customHeight="1" x14ac:dyDescent="0.2">
      <c r="A515" s="270"/>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row>
    <row r="516" spans="1:28" ht="14.25" customHeight="1" x14ac:dyDescent="0.2">
      <c r="A516" s="270"/>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row>
    <row r="517" spans="1:28" ht="14.25" customHeight="1" x14ac:dyDescent="0.2">
      <c r="A517" s="270"/>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row>
    <row r="518" spans="1:28" ht="14.25" customHeight="1" x14ac:dyDescent="0.2">
      <c r="A518" s="270"/>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row>
    <row r="519" spans="1:28" ht="14.25" customHeight="1" x14ac:dyDescent="0.2">
      <c r="A519" s="270"/>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row>
    <row r="520" spans="1:28" ht="14.25" customHeight="1" x14ac:dyDescent="0.2">
      <c r="A520" s="270"/>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row>
    <row r="521" spans="1:28" ht="14.25" customHeight="1" x14ac:dyDescent="0.2">
      <c r="A521" s="270"/>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row>
    <row r="522" spans="1:28" ht="14.25" customHeight="1" x14ac:dyDescent="0.2">
      <c r="A522" s="270"/>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row>
    <row r="523" spans="1:28" ht="14.25" customHeight="1" x14ac:dyDescent="0.2">
      <c r="A523" s="270"/>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row>
    <row r="524" spans="1:28" ht="14.25" customHeight="1" x14ac:dyDescent="0.2">
      <c r="A524" s="270"/>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row>
    <row r="525" spans="1:28" ht="14.25" customHeight="1" x14ac:dyDescent="0.2">
      <c r="A525" s="270"/>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row>
    <row r="526" spans="1:28" ht="14.25" customHeight="1" x14ac:dyDescent="0.2">
      <c r="A526" s="270"/>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row>
    <row r="527" spans="1:28" ht="14.25" customHeight="1" x14ac:dyDescent="0.2">
      <c r="A527" s="270"/>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row>
    <row r="528" spans="1:28" ht="14.25" customHeight="1" x14ac:dyDescent="0.2">
      <c r="A528" s="270"/>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row>
    <row r="529" spans="1:28" ht="14.25" customHeight="1" x14ac:dyDescent="0.2">
      <c r="A529" s="270"/>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row>
    <row r="530" spans="1:28" ht="14.25" customHeight="1" x14ac:dyDescent="0.2">
      <c r="A530" s="270"/>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row>
    <row r="531" spans="1:28" ht="14.25" customHeight="1" x14ac:dyDescent="0.2">
      <c r="A531" s="270"/>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row>
    <row r="532" spans="1:28" ht="14.25" customHeight="1" x14ac:dyDescent="0.2">
      <c r="A532" s="270"/>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row>
    <row r="533" spans="1:28" ht="14.25" customHeight="1" x14ac:dyDescent="0.2">
      <c r="A533" s="270"/>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row>
    <row r="534" spans="1:28" ht="14.25" customHeight="1" x14ac:dyDescent="0.2">
      <c r="A534" s="270"/>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row>
    <row r="535" spans="1:28" ht="14.25" customHeight="1" x14ac:dyDescent="0.2">
      <c r="A535" s="270"/>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row>
    <row r="536" spans="1:28" ht="14.25" customHeight="1" x14ac:dyDescent="0.2">
      <c r="A536" s="270"/>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row>
    <row r="537" spans="1:28" ht="14.25" customHeight="1" x14ac:dyDescent="0.2">
      <c r="A537" s="270"/>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row>
    <row r="538" spans="1:28" ht="14.25" customHeight="1" x14ac:dyDescent="0.2">
      <c r="A538" s="270"/>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row>
    <row r="539" spans="1:28" ht="14.25" customHeight="1" x14ac:dyDescent="0.2">
      <c r="A539" s="270"/>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row>
    <row r="540" spans="1:28" ht="14.25" customHeight="1" x14ac:dyDescent="0.2">
      <c r="A540" s="270"/>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row>
    <row r="541" spans="1:28" ht="14.25" customHeight="1" x14ac:dyDescent="0.2">
      <c r="A541" s="270"/>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row>
    <row r="542" spans="1:28" ht="14.25" customHeight="1" x14ac:dyDescent="0.2">
      <c r="A542" s="270"/>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row>
    <row r="543" spans="1:28" ht="14.25" customHeight="1" x14ac:dyDescent="0.2">
      <c r="A543" s="270"/>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row>
    <row r="544" spans="1:28" ht="14.25" customHeight="1" x14ac:dyDescent="0.2">
      <c r="A544" s="270"/>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row>
    <row r="545" spans="1:28" ht="14.25" customHeight="1" x14ac:dyDescent="0.2">
      <c r="A545" s="270"/>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row>
    <row r="546" spans="1:28" ht="14.25" customHeight="1" x14ac:dyDescent="0.2">
      <c r="A546" s="270"/>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row>
    <row r="547" spans="1:28" ht="14.25" customHeight="1" x14ac:dyDescent="0.2">
      <c r="A547" s="270"/>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row>
    <row r="548" spans="1:28" ht="14.25" customHeight="1" x14ac:dyDescent="0.2">
      <c r="A548" s="270"/>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row>
    <row r="549" spans="1:28" ht="14.25" customHeight="1" x14ac:dyDescent="0.2">
      <c r="A549" s="270"/>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c r="AA549" s="270"/>
      <c r="AB549" s="270"/>
    </row>
    <row r="550" spans="1:28" ht="14.25" customHeight="1" x14ac:dyDescent="0.2">
      <c r="A550" s="270"/>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row>
    <row r="551" spans="1:28" ht="14.25" customHeight="1" x14ac:dyDescent="0.2">
      <c r="A551" s="270"/>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row>
    <row r="552" spans="1:28" ht="14.25" customHeight="1" x14ac:dyDescent="0.2">
      <c r="A552" s="270"/>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row>
    <row r="553" spans="1:28" ht="14.25" customHeight="1" x14ac:dyDescent="0.2">
      <c r="A553" s="270"/>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row>
    <row r="554" spans="1:28" ht="14.25" customHeight="1" x14ac:dyDescent="0.2">
      <c r="A554" s="270"/>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row>
    <row r="555" spans="1:28" ht="14.25" customHeight="1" x14ac:dyDescent="0.2">
      <c r="A555" s="270"/>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row>
    <row r="556" spans="1:28" ht="14.25" customHeight="1" x14ac:dyDescent="0.2">
      <c r="A556" s="270"/>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row>
    <row r="557" spans="1:28" ht="14.25" customHeight="1" x14ac:dyDescent="0.2">
      <c r="A557" s="270"/>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row>
    <row r="558" spans="1:28" ht="14.25" customHeight="1" x14ac:dyDescent="0.2">
      <c r="A558" s="270"/>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row>
    <row r="559" spans="1:28" ht="14.25" customHeight="1" x14ac:dyDescent="0.2">
      <c r="A559" s="270"/>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row>
    <row r="560" spans="1:28" ht="14.25" customHeight="1" x14ac:dyDescent="0.2">
      <c r="A560" s="270"/>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row>
    <row r="561" spans="1:28" ht="14.25" customHeight="1" x14ac:dyDescent="0.2">
      <c r="A561" s="270"/>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row>
    <row r="562" spans="1:28" ht="14.25" customHeight="1" x14ac:dyDescent="0.2">
      <c r="A562" s="270"/>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row>
    <row r="563" spans="1:28" ht="14.25" customHeight="1" x14ac:dyDescent="0.2">
      <c r="A563" s="270"/>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row>
    <row r="564" spans="1:28" ht="14.25" customHeight="1" x14ac:dyDescent="0.2">
      <c r="A564" s="270"/>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row>
    <row r="565" spans="1:28" ht="14.25" customHeight="1" x14ac:dyDescent="0.2">
      <c r="A565" s="270"/>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row>
    <row r="566" spans="1:28" ht="14.25" customHeight="1" x14ac:dyDescent="0.2">
      <c r="A566" s="270"/>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row>
    <row r="567" spans="1:28" ht="14.25" customHeight="1" x14ac:dyDescent="0.2">
      <c r="A567" s="270"/>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row>
    <row r="568" spans="1:28" ht="14.25" customHeight="1" x14ac:dyDescent="0.2">
      <c r="A568" s="270"/>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row>
    <row r="569" spans="1:28" ht="14.25" customHeight="1" x14ac:dyDescent="0.2">
      <c r="A569" s="270"/>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row>
    <row r="570" spans="1:28" ht="14.25" customHeight="1" x14ac:dyDescent="0.2">
      <c r="A570" s="270"/>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row>
    <row r="571" spans="1:28" ht="14.25" customHeight="1" x14ac:dyDescent="0.2">
      <c r="A571" s="270"/>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row>
    <row r="572" spans="1:28" ht="14.25" customHeight="1" x14ac:dyDescent="0.2">
      <c r="A572" s="270"/>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c r="AA572" s="270"/>
      <c r="AB572" s="270"/>
    </row>
    <row r="573" spans="1:28" ht="14.25" customHeight="1" x14ac:dyDescent="0.2">
      <c r="A573" s="270"/>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row>
    <row r="574" spans="1:28" ht="14.25" customHeight="1" x14ac:dyDescent="0.2">
      <c r="A574" s="270"/>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row>
    <row r="575" spans="1:28" ht="14.25" customHeight="1" x14ac:dyDescent="0.2">
      <c r="A575" s="270"/>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row>
    <row r="576" spans="1:28" ht="14.25" customHeight="1" x14ac:dyDescent="0.2">
      <c r="A576" s="270"/>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row>
    <row r="577" spans="1:28" ht="14.25" customHeight="1" x14ac:dyDescent="0.2">
      <c r="A577" s="270"/>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row>
    <row r="578" spans="1:28" ht="14.25" customHeight="1" x14ac:dyDescent="0.2">
      <c r="A578" s="270"/>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row>
    <row r="579" spans="1:28" ht="14.25" customHeight="1" x14ac:dyDescent="0.2">
      <c r="A579" s="270"/>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row>
    <row r="580" spans="1:28" ht="14.25" customHeight="1" x14ac:dyDescent="0.2">
      <c r="A580" s="270"/>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row>
    <row r="581" spans="1:28" ht="14.25" customHeight="1" x14ac:dyDescent="0.2">
      <c r="A581" s="270"/>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row>
    <row r="582" spans="1:28" ht="14.25" customHeight="1" x14ac:dyDescent="0.2">
      <c r="A582" s="270"/>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row>
    <row r="583" spans="1:28" ht="14.25" customHeight="1" x14ac:dyDescent="0.2">
      <c r="A583" s="270"/>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row>
    <row r="584" spans="1:28" ht="14.25" customHeight="1" x14ac:dyDescent="0.2">
      <c r="A584" s="270"/>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c r="X584" s="270"/>
      <c r="Y584" s="270"/>
      <c r="Z584" s="270"/>
      <c r="AA584" s="270"/>
      <c r="AB584" s="270"/>
    </row>
    <row r="585" spans="1:28" ht="14.25" customHeight="1" x14ac:dyDescent="0.2">
      <c r="A585" s="270"/>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c r="AA585" s="270"/>
      <c r="AB585" s="270"/>
    </row>
    <row r="586" spans="1:28" ht="14.25" customHeight="1" x14ac:dyDescent="0.2">
      <c r="A586" s="270"/>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c r="AB586" s="270"/>
    </row>
    <row r="587" spans="1:28" ht="14.25" customHeight="1" x14ac:dyDescent="0.2">
      <c r="A587" s="270"/>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row>
    <row r="588" spans="1:28" ht="14.25" customHeight="1" x14ac:dyDescent="0.2">
      <c r="A588" s="270"/>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row>
    <row r="589" spans="1:28" ht="14.25" customHeight="1" x14ac:dyDescent="0.2">
      <c r="A589" s="270"/>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row>
    <row r="590" spans="1:28" ht="14.25" customHeight="1" x14ac:dyDescent="0.2">
      <c r="A590" s="270"/>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row>
    <row r="591" spans="1:28" ht="14.25" customHeight="1" x14ac:dyDescent="0.2">
      <c r="A591" s="270"/>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row>
    <row r="592" spans="1:28" ht="14.25" customHeight="1" x14ac:dyDescent="0.2">
      <c r="A592" s="270"/>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row>
    <row r="593" spans="1:28" ht="14.25" customHeight="1" x14ac:dyDescent="0.2">
      <c r="A593" s="270"/>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row>
    <row r="594" spans="1:28" ht="14.25" customHeight="1" x14ac:dyDescent="0.2">
      <c r="A594" s="270"/>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row>
    <row r="595" spans="1:28" ht="14.25" customHeight="1" x14ac:dyDescent="0.2">
      <c r="A595" s="270"/>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row>
    <row r="596" spans="1:28" ht="14.25" customHeight="1" x14ac:dyDescent="0.2">
      <c r="A596" s="270"/>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row>
    <row r="597" spans="1:28" ht="14.25" customHeight="1" x14ac:dyDescent="0.2">
      <c r="A597" s="270"/>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row>
    <row r="598" spans="1:28" ht="14.25" customHeight="1" x14ac:dyDescent="0.2">
      <c r="A598" s="270"/>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row>
    <row r="599" spans="1:28" ht="14.25" customHeight="1" x14ac:dyDescent="0.2">
      <c r="A599" s="270"/>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row>
    <row r="600" spans="1:28" ht="14.25" customHeight="1" x14ac:dyDescent="0.2">
      <c r="A600" s="270"/>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row>
    <row r="601" spans="1:28" ht="14.25" customHeight="1" x14ac:dyDescent="0.2">
      <c r="A601" s="270"/>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row>
    <row r="602" spans="1:28" ht="14.25" customHeight="1" x14ac:dyDescent="0.2">
      <c r="A602" s="270"/>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row>
    <row r="603" spans="1:28" ht="14.25" customHeight="1" x14ac:dyDescent="0.2">
      <c r="A603" s="270"/>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row>
    <row r="604" spans="1:28" ht="14.25" customHeight="1" x14ac:dyDescent="0.2">
      <c r="A604" s="270"/>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row>
    <row r="605" spans="1:28" ht="14.25" customHeight="1" x14ac:dyDescent="0.2">
      <c r="A605" s="270"/>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row>
    <row r="606" spans="1:28" ht="14.25" customHeight="1" x14ac:dyDescent="0.2">
      <c r="A606" s="270"/>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row>
    <row r="607" spans="1:28" ht="14.25" customHeight="1" x14ac:dyDescent="0.2">
      <c r="A607" s="270"/>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row>
    <row r="608" spans="1:28" ht="14.25" customHeight="1" x14ac:dyDescent="0.2">
      <c r="A608" s="270"/>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row>
    <row r="609" spans="1:28" ht="14.25" customHeight="1" x14ac:dyDescent="0.2">
      <c r="A609" s="270"/>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row>
    <row r="610" spans="1:28" ht="14.25" customHeight="1" x14ac:dyDescent="0.2">
      <c r="A610" s="270"/>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row>
    <row r="611" spans="1:28" ht="14.25" customHeight="1" x14ac:dyDescent="0.2">
      <c r="A611" s="270"/>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row>
    <row r="612" spans="1:28" ht="14.25" customHeight="1" x14ac:dyDescent="0.2">
      <c r="A612" s="270"/>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row>
    <row r="613" spans="1:28" ht="14.25" customHeight="1" x14ac:dyDescent="0.2">
      <c r="A613" s="270"/>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row>
    <row r="614" spans="1:28" ht="14.25" customHeight="1" x14ac:dyDescent="0.2">
      <c r="A614" s="270"/>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c r="AA614" s="270"/>
      <c r="AB614" s="270"/>
    </row>
    <row r="615" spans="1:28" ht="14.25" customHeight="1" x14ac:dyDescent="0.2">
      <c r="A615" s="270"/>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row>
    <row r="616" spans="1:28" ht="14.25" customHeight="1" x14ac:dyDescent="0.2">
      <c r="A616" s="270"/>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row>
    <row r="617" spans="1:28" ht="14.25" customHeight="1" x14ac:dyDescent="0.2">
      <c r="A617" s="270"/>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row>
    <row r="618" spans="1:28" ht="14.25" customHeight="1" x14ac:dyDescent="0.2">
      <c r="A618" s="270"/>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row>
    <row r="619" spans="1:28" ht="14.25" customHeight="1" x14ac:dyDescent="0.2">
      <c r="A619" s="270"/>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row>
    <row r="620" spans="1:28" ht="14.25" customHeight="1" x14ac:dyDescent="0.2">
      <c r="A620" s="270"/>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row>
    <row r="621" spans="1:28" ht="14.25" customHeight="1" x14ac:dyDescent="0.2">
      <c r="A621" s="270"/>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row>
    <row r="622" spans="1:28" ht="14.25" customHeight="1" x14ac:dyDescent="0.2">
      <c r="A622" s="270"/>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row>
    <row r="623" spans="1:28" ht="14.25" customHeight="1" x14ac:dyDescent="0.2">
      <c r="A623" s="270"/>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row>
    <row r="624" spans="1:28" ht="14.25" customHeight="1" x14ac:dyDescent="0.2">
      <c r="A624" s="270"/>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row>
    <row r="625" spans="1:28" ht="14.25" customHeight="1" x14ac:dyDescent="0.2">
      <c r="A625" s="270"/>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row>
    <row r="626" spans="1:28" ht="14.25" customHeight="1" x14ac:dyDescent="0.2">
      <c r="A626" s="270"/>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row>
    <row r="627" spans="1:28" ht="14.25" customHeight="1" x14ac:dyDescent="0.2">
      <c r="A627" s="270"/>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row>
    <row r="628" spans="1:28" ht="14.25" customHeight="1" x14ac:dyDescent="0.2">
      <c r="A628" s="270"/>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row>
    <row r="629" spans="1:28" ht="14.25" customHeight="1" x14ac:dyDescent="0.2">
      <c r="A629" s="270"/>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row>
    <row r="630" spans="1:28" ht="14.25" customHeight="1" x14ac:dyDescent="0.2">
      <c r="A630" s="270"/>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row>
    <row r="631" spans="1:28" ht="14.25" customHeight="1" x14ac:dyDescent="0.2">
      <c r="A631" s="270"/>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row>
    <row r="632" spans="1:28" ht="14.25" customHeight="1" x14ac:dyDescent="0.2">
      <c r="A632" s="270"/>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row>
    <row r="633" spans="1:28" ht="14.25" customHeight="1" x14ac:dyDescent="0.2">
      <c r="A633" s="270"/>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row>
    <row r="634" spans="1:28" ht="14.25" customHeight="1" x14ac:dyDescent="0.2">
      <c r="A634" s="270"/>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row>
    <row r="635" spans="1:28" ht="14.25" customHeight="1" x14ac:dyDescent="0.2">
      <c r="A635" s="270"/>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row>
    <row r="636" spans="1:28" ht="14.25" customHeight="1" x14ac:dyDescent="0.2">
      <c r="A636" s="270"/>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row>
    <row r="637" spans="1:28" ht="14.25" customHeight="1" x14ac:dyDescent="0.2">
      <c r="A637" s="270"/>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row>
    <row r="638" spans="1:28" ht="14.25" customHeight="1" x14ac:dyDescent="0.2">
      <c r="A638" s="270"/>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row>
    <row r="639" spans="1:28" ht="14.25" customHeight="1" x14ac:dyDescent="0.2">
      <c r="A639" s="270"/>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row>
    <row r="640" spans="1:28" ht="14.25" customHeight="1" x14ac:dyDescent="0.2">
      <c r="A640" s="270"/>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row>
    <row r="641" spans="1:28" ht="14.25" customHeight="1" x14ac:dyDescent="0.2">
      <c r="A641" s="270"/>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row>
    <row r="642" spans="1:28" ht="14.25" customHeight="1" x14ac:dyDescent="0.2">
      <c r="A642" s="270"/>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row>
    <row r="643" spans="1:28" ht="14.25" customHeight="1" x14ac:dyDescent="0.2">
      <c r="A643" s="270"/>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row>
    <row r="644" spans="1:28" ht="14.25" customHeight="1" x14ac:dyDescent="0.2">
      <c r="A644" s="270"/>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row>
    <row r="645" spans="1:28" ht="14.25" customHeight="1" x14ac:dyDescent="0.2">
      <c r="A645" s="270"/>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row>
    <row r="646" spans="1:28" ht="14.25" customHeight="1" x14ac:dyDescent="0.2">
      <c r="A646" s="270"/>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row>
    <row r="647" spans="1:28" ht="14.25" customHeight="1" x14ac:dyDescent="0.2">
      <c r="A647" s="270"/>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c r="X647" s="270"/>
      <c r="Y647" s="270"/>
      <c r="Z647" s="270"/>
      <c r="AA647" s="270"/>
      <c r="AB647" s="270"/>
    </row>
    <row r="648" spans="1:28" ht="14.25" customHeight="1" x14ac:dyDescent="0.2">
      <c r="A648" s="270"/>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c r="X648" s="270"/>
      <c r="Y648" s="270"/>
      <c r="Z648" s="270"/>
      <c r="AA648" s="270"/>
      <c r="AB648" s="270"/>
    </row>
    <row r="649" spans="1:28" ht="14.25" customHeight="1" x14ac:dyDescent="0.2">
      <c r="A649" s="270"/>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row>
    <row r="650" spans="1:28" ht="14.25" customHeight="1" x14ac:dyDescent="0.2">
      <c r="A650" s="270"/>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row>
    <row r="651" spans="1:28" ht="14.25" customHeight="1" x14ac:dyDescent="0.2">
      <c r="A651" s="270"/>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row>
    <row r="652" spans="1:28" ht="14.25" customHeight="1" x14ac:dyDescent="0.2">
      <c r="A652" s="270"/>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row>
    <row r="653" spans="1:28" ht="14.25" customHeight="1" x14ac:dyDescent="0.2">
      <c r="A653" s="270"/>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row>
    <row r="654" spans="1:28" ht="14.25" customHeight="1" x14ac:dyDescent="0.2">
      <c r="A654" s="270"/>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row>
    <row r="655" spans="1:28" ht="14.25" customHeight="1" x14ac:dyDescent="0.2">
      <c r="A655" s="270"/>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row>
    <row r="656" spans="1:28" ht="14.25" customHeight="1" x14ac:dyDescent="0.2">
      <c r="A656" s="270"/>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row>
    <row r="657" spans="1:28" ht="14.25" customHeight="1" x14ac:dyDescent="0.2">
      <c r="A657" s="270"/>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row>
    <row r="658" spans="1:28" ht="14.25" customHeight="1" x14ac:dyDescent="0.2">
      <c r="A658" s="270"/>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row>
    <row r="659" spans="1:28" ht="14.25" customHeight="1" x14ac:dyDescent="0.2">
      <c r="A659" s="270"/>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c r="X659" s="270"/>
      <c r="Y659" s="270"/>
      <c r="Z659" s="270"/>
      <c r="AA659" s="270"/>
      <c r="AB659" s="270"/>
    </row>
    <row r="660" spans="1:28" ht="14.25" customHeight="1" x14ac:dyDescent="0.2">
      <c r="A660" s="270"/>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c r="X660" s="270"/>
      <c r="Y660" s="270"/>
      <c r="Z660" s="270"/>
      <c r="AA660" s="270"/>
      <c r="AB660" s="270"/>
    </row>
    <row r="661" spans="1:28" ht="14.25" customHeight="1" x14ac:dyDescent="0.2">
      <c r="A661" s="270"/>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c r="AA661" s="270"/>
      <c r="AB661" s="270"/>
    </row>
    <row r="662" spans="1:28" ht="14.25" customHeight="1" x14ac:dyDescent="0.2">
      <c r="A662" s="270"/>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row>
    <row r="663" spans="1:28" ht="14.25" customHeight="1" x14ac:dyDescent="0.2">
      <c r="A663" s="270"/>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row>
    <row r="664" spans="1:28" ht="14.25" customHeight="1" x14ac:dyDescent="0.2">
      <c r="A664" s="270"/>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row>
    <row r="665" spans="1:28" ht="14.25" customHeight="1" x14ac:dyDescent="0.2">
      <c r="A665" s="270"/>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row>
    <row r="666" spans="1:28" ht="14.25" customHeight="1" x14ac:dyDescent="0.2">
      <c r="A666" s="270"/>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row>
    <row r="667" spans="1:28" ht="14.25" customHeight="1" x14ac:dyDescent="0.2">
      <c r="A667" s="270"/>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row>
    <row r="668" spans="1:28" ht="14.25" customHeight="1" x14ac:dyDescent="0.2">
      <c r="A668" s="270"/>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row>
    <row r="669" spans="1:28" ht="14.25" customHeight="1" x14ac:dyDescent="0.2">
      <c r="A669" s="270"/>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row>
    <row r="670" spans="1:28" ht="14.25" customHeight="1" x14ac:dyDescent="0.2">
      <c r="A670" s="270"/>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row>
    <row r="671" spans="1:28" ht="14.25" customHeight="1" x14ac:dyDescent="0.2">
      <c r="A671" s="270"/>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row>
    <row r="672" spans="1:28" ht="14.25" customHeight="1" x14ac:dyDescent="0.2">
      <c r="A672" s="270"/>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row>
    <row r="673" spans="1:28" ht="14.25" customHeight="1" x14ac:dyDescent="0.2">
      <c r="A673" s="270"/>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row>
    <row r="674" spans="1:28" ht="14.25" customHeight="1" x14ac:dyDescent="0.2">
      <c r="A674" s="270"/>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row>
    <row r="675" spans="1:28" ht="14.25" customHeight="1" x14ac:dyDescent="0.2">
      <c r="A675" s="270"/>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row>
    <row r="676" spans="1:28" ht="14.25" customHeight="1" x14ac:dyDescent="0.2">
      <c r="A676" s="270"/>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row>
    <row r="677" spans="1:28" ht="14.25" customHeight="1" x14ac:dyDescent="0.2">
      <c r="A677" s="270"/>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row>
    <row r="678" spans="1:28" ht="14.25" customHeight="1" x14ac:dyDescent="0.2">
      <c r="A678" s="270"/>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row>
    <row r="679" spans="1:28" ht="14.25" customHeight="1" x14ac:dyDescent="0.2">
      <c r="A679" s="270"/>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row>
    <row r="680" spans="1:28" ht="14.25" customHeight="1" x14ac:dyDescent="0.2">
      <c r="A680" s="270"/>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row>
    <row r="681" spans="1:28" ht="14.25" customHeight="1" x14ac:dyDescent="0.2">
      <c r="A681" s="270"/>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row>
    <row r="682" spans="1:28" ht="14.25" customHeight="1" x14ac:dyDescent="0.2">
      <c r="A682" s="270"/>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row>
    <row r="683" spans="1:28" ht="14.25" customHeight="1" x14ac:dyDescent="0.2">
      <c r="A683" s="270"/>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row>
    <row r="684" spans="1:28" ht="14.25" customHeight="1" x14ac:dyDescent="0.2">
      <c r="A684" s="270"/>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row>
    <row r="685" spans="1:28" ht="14.25" customHeight="1" x14ac:dyDescent="0.2">
      <c r="A685" s="270"/>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row>
    <row r="686" spans="1:28" ht="14.25" customHeight="1" x14ac:dyDescent="0.2">
      <c r="A686" s="270"/>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row>
    <row r="687" spans="1:28" ht="14.25" customHeight="1" x14ac:dyDescent="0.2">
      <c r="A687" s="270"/>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row>
    <row r="688" spans="1:28" ht="14.25" customHeight="1" x14ac:dyDescent="0.2">
      <c r="A688" s="270"/>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row>
    <row r="689" spans="1:28" ht="14.25" customHeight="1" x14ac:dyDescent="0.2">
      <c r="A689" s="270"/>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row>
    <row r="690" spans="1:28" ht="14.25" customHeight="1" x14ac:dyDescent="0.2">
      <c r="A690" s="270"/>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row>
    <row r="691" spans="1:28" ht="14.25" customHeight="1" x14ac:dyDescent="0.2">
      <c r="A691" s="270"/>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row>
    <row r="692" spans="1:28" ht="14.25" customHeight="1" x14ac:dyDescent="0.2">
      <c r="A692" s="270"/>
      <c r="B692" s="270"/>
      <c r="C692" s="270"/>
      <c r="D692" s="270"/>
      <c r="E692" s="270"/>
      <c r="F692" s="270"/>
      <c r="G692" s="270"/>
      <c r="H692" s="270"/>
      <c r="I692" s="270"/>
      <c r="J692" s="270"/>
      <c r="K692" s="270"/>
      <c r="L692" s="270"/>
      <c r="M692" s="270"/>
      <c r="N692" s="270"/>
      <c r="O692" s="270"/>
      <c r="P692" s="270"/>
      <c r="Q692" s="270"/>
      <c r="R692" s="270"/>
      <c r="S692" s="270"/>
      <c r="T692" s="270"/>
      <c r="U692" s="270"/>
      <c r="V692" s="270"/>
      <c r="W692" s="270"/>
      <c r="X692" s="270"/>
      <c r="Y692" s="270"/>
      <c r="Z692" s="270"/>
      <c r="AA692" s="270"/>
      <c r="AB692" s="270"/>
    </row>
    <row r="693" spans="1:28" ht="14.25" customHeight="1" x14ac:dyDescent="0.2">
      <c r="A693" s="270"/>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row>
    <row r="694" spans="1:28" ht="14.25" customHeight="1" x14ac:dyDescent="0.2">
      <c r="A694" s="270"/>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row>
    <row r="695" spans="1:28" ht="14.25" customHeight="1" x14ac:dyDescent="0.2">
      <c r="A695" s="270"/>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row>
    <row r="696" spans="1:28" ht="14.25" customHeight="1" x14ac:dyDescent="0.2">
      <c r="A696" s="270"/>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row>
    <row r="697" spans="1:28" ht="14.25" customHeight="1" x14ac:dyDescent="0.2">
      <c r="A697" s="270"/>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row>
    <row r="698" spans="1:28" ht="14.25" customHeight="1" x14ac:dyDescent="0.2">
      <c r="A698" s="270"/>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row>
    <row r="699" spans="1:28" ht="14.25" customHeight="1" x14ac:dyDescent="0.2">
      <c r="A699" s="270"/>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row>
    <row r="700" spans="1:28" ht="14.25" customHeight="1" x14ac:dyDescent="0.2">
      <c r="A700" s="270"/>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row>
    <row r="701" spans="1:28" ht="14.25" customHeight="1" x14ac:dyDescent="0.2">
      <c r="A701" s="270"/>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c r="AA701" s="270"/>
      <c r="AB701" s="270"/>
    </row>
    <row r="702" spans="1:28" ht="14.25" customHeight="1" x14ac:dyDescent="0.2">
      <c r="A702" s="270"/>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c r="X702" s="270"/>
      <c r="Y702" s="270"/>
      <c r="Z702" s="270"/>
      <c r="AA702" s="270"/>
      <c r="AB702" s="270"/>
    </row>
    <row r="703" spans="1:28" ht="14.25" customHeight="1" x14ac:dyDescent="0.2">
      <c r="A703" s="270"/>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row>
    <row r="704" spans="1:28" ht="14.25" customHeight="1" x14ac:dyDescent="0.2">
      <c r="A704" s="270"/>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c r="X704" s="270"/>
      <c r="Y704" s="270"/>
      <c r="Z704" s="270"/>
      <c r="AA704" s="270"/>
      <c r="AB704" s="270"/>
    </row>
    <row r="705" spans="1:28" ht="14.25" customHeight="1" x14ac:dyDescent="0.2">
      <c r="A705" s="270"/>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c r="X705" s="270"/>
      <c r="Y705" s="270"/>
      <c r="Z705" s="270"/>
      <c r="AA705" s="270"/>
      <c r="AB705" s="270"/>
    </row>
    <row r="706" spans="1:28" ht="14.25" customHeight="1" x14ac:dyDescent="0.2">
      <c r="A706" s="270"/>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row>
    <row r="707" spans="1:28" ht="14.25" customHeight="1" x14ac:dyDescent="0.2">
      <c r="A707" s="270"/>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row>
    <row r="708" spans="1:28" ht="14.25" customHeight="1" x14ac:dyDescent="0.2">
      <c r="A708" s="270"/>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row>
    <row r="709" spans="1:28" ht="14.25" customHeight="1" x14ac:dyDescent="0.2">
      <c r="A709" s="270"/>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row>
    <row r="710" spans="1:28" ht="14.25" customHeight="1" x14ac:dyDescent="0.2">
      <c r="A710" s="270"/>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row>
    <row r="711" spans="1:28" ht="14.25" customHeight="1" x14ac:dyDescent="0.2">
      <c r="A711" s="270"/>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row>
    <row r="712" spans="1:28" ht="14.25" customHeight="1" x14ac:dyDescent="0.2">
      <c r="A712" s="270"/>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row>
    <row r="713" spans="1:28" ht="14.25" customHeight="1" x14ac:dyDescent="0.2">
      <c r="A713" s="270"/>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row>
    <row r="714" spans="1:28" ht="14.25" customHeight="1" x14ac:dyDescent="0.2">
      <c r="A714" s="270"/>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row>
    <row r="715" spans="1:28" ht="14.25" customHeight="1" x14ac:dyDescent="0.2">
      <c r="A715" s="270"/>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row>
    <row r="716" spans="1:28" ht="14.25" customHeight="1" x14ac:dyDescent="0.2">
      <c r="A716" s="270"/>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row>
    <row r="717" spans="1:28" ht="14.25" customHeight="1" x14ac:dyDescent="0.2">
      <c r="A717" s="270"/>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row>
    <row r="718" spans="1:28" ht="14.25" customHeight="1" x14ac:dyDescent="0.2">
      <c r="A718" s="270"/>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row>
    <row r="719" spans="1:28" ht="14.25" customHeight="1" x14ac:dyDescent="0.2">
      <c r="A719" s="270"/>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row>
    <row r="720" spans="1:28" ht="14.25" customHeight="1" x14ac:dyDescent="0.2">
      <c r="A720" s="270"/>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row>
    <row r="721" spans="1:28" ht="14.25" customHeight="1" x14ac:dyDescent="0.2">
      <c r="A721" s="270"/>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row>
    <row r="722" spans="1:28" ht="14.25" customHeight="1" x14ac:dyDescent="0.2">
      <c r="A722" s="270"/>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row>
    <row r="723" spans="1:28" ht="14.25" customHeight="1" x14ac:dyDescent="0.2">
      <c r="A723" s="270"/>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row>
    <row r="724" spans="1:28" ht="14.25" customHeight="1" x14ac:dyDescent="0.2">
      <c r="A724" s="270"/>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row>
    <row r="725" spans="1:28" ht="14.25" customHeight="1" x14ac:dyDescent="0.2">
      <c r="A725" s="270"/>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row>
    <row r="726" spans="1:28" ht="14.25" customHeight="1" x14ac:dyDescent="0.2">
      <c r="A726" s="270"/>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row>
    <row r="727" spans="1:28" ht="14.25" customHeight="1" x14ac:dyDescent="0.2">
      <c r="A727" s="270"/>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row>
    <row r="728" spans="1:28" ht="14.25" customHeight="1" x14ac:dyDescent="0.2">
      <c r="A728" s="270"/>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row>
    <row r="729" spans="1:28" ht="14.25" customHeight="1" x14ac:dyDescent="0.2">
      <c r="A729" s="270"/>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c r="AA729" s="270"/>
      <c r="AB729" s="270"/>
    </row>
    <row r="730" spans="1:28" ht="14.25" customHeight="1" x14ac:dyDescent="0.2">
      <c r="A730" s="270"/>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c r="X730" s="270"/>
      <c r="Y730" s="270"/>
      <c r="Z730" s="270"/>
      <c r="AA730" s="270"/>
      <c r="AB730" s="270"/>
    </row>
    <row r="731" spans="1:28" ht="14.25" customHeight="1" x14ac:dyDescent="0.2">
      <c r="A731" s="270"/>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c r="AA731" s="270"/>
      <c r="AB731" s="270"/>
    </row>
    <row r="732" spans="1:28" ht="14.25" customHeight="1" x14ac:dyDescent="0.2">
      <c r="A732" s="270"/>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row>
    <row r="733" spans="1:28" ht="14.25" customHeight="1" x14ac:dyDescent="0.2">
      <c r="A733" s="270"/>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c r="AB733" s="270"/>
    </row>
    <row r="734" spans="1:28" ht="14.25" customHeight="1" x14ac:dyDescent="0.2">
      <c r="A734" s="270"/>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c r="AB734" s="270"/>
    </row>
    <row r="735" spans="1:28" ht="14.25" customHeight="1" x14ac:dyDescent="0.2">
      <c r="A735" s="270"/>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c r="X735" s="270"/>
      <c r="Y735" s="270"/>
      <c r="Z735" s="270"/>
      <c r="AA735" s="270"/>
      <c r="AB735" s="270"/>
    </row>
    <row r="736" spans="1:28" ht="14.25" customHeight="1" x14ac:dyDescent="0.2">
      <c r="A736" s="270"/>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row>
    <row r="737" spans="1:28" ht="14.25" customHeight="1" x14ac:dyDescent="0.2">
      <c r="A737" s="270"/>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row>
    <row r="738" spans="1:28" ht="14.25" customHeight="1" x14ac:dyDescent="0.2">
      <c r="A738" s="270"/>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row>
    <row r="739" spans="1:28" ht="14.25" customHeight="1" x14ac:dyDescent="0.2">
      <c r="A739" s="270"/>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row>
    <row r="740" spans="1:28" ht="14.25" customHeight="1" x14ac:dyDescent="0.2">
      <c r="A740" s="270"/>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row>
    <row r="741" spans="1:28" ht="14.25" customHeight="1" x14ac:dyDescent="0.2">
      <c r="A741" s="270"/>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row>
    <row r="742" spans="1:28" ht="14.25" customHeight="1" x14ac:dyDescent="0.2">
      <c r="A742" s="270"/>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row>
    <row r="743" spans="1:28" ht="14.25" customHeight="1" x14ac:dyDescent="0.2">
      <c r="A743" s="270"/>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row>
    <row r="744" spans="1:28" ht="14.25" customHeight="1" x14ac:dyDescent="0.2">
      <c r="A744" s="270"/>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row>
    <row r="745" spans="1:28" ht="14.25" customHeight="1" x14ac:dyDescent="0.2">
      <c r="A745" s="270"/>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row>
    <row r="746" spans="1:28" ht="14.25" customHeight="1" x14ac:dyDescent="0.2">
      <c r="A746" s="270"/>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row>
    <row r="747" spans="1:28" ht="14.25" customHeight="1" x14ac:dyDescent="0.2">
      <c r="A747" s="270"/>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row>
    <row r="748" spans="1:28" ht="14.25" customHeight="1" x14ac:dyDescent="0.2">
      <c r="A748" s="270"/>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c r="AA748" s="270"/>
      <c r="AB748" s="270"/>
    </row>
    <row r="749" spans="1:28" ht="14.25" customHeight="1" x14ac:dyDescent="0.2">
      <c r="A749" s="270"/>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row>
    <row r="750" spans="1:28" ht="14.25" customHeight="1" x14ac:dyDescent="0.2">
      <c r="A750" s="270"/>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c r="X750" s="270"/>
      <c r="Y750" s="270"/>
      <c r="Z750" s="270"/>
      <c r="AA750" s="270"/>
      <c r="AB750" s="270"/>
    </row>
    <row r="751" spans="1:28" ht="14.25" customHeight="1" x14ac:dyDescent="0.2">
      <c r="A751" s="270"/>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c r="X751" s="270"/>
      <c r="Y751" s="270"/>
      <c r="Z751" s="270"/>
      <c r="AA751" s="270"/>
      <c r="AB751" s="270"/>
    </row>
    <row r="752" spans="1:28" ht="14.25" customHeight="1" x14ac:dyDescent="0.2">
      <c r="A752" s="270"/>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row>
    <row r="753" spans="1:28" ht="14.25" customHeight="1" x14ac:dyDescent="0.2">
      <c r="A753" s="270"/>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row>
    <row r="754" spans="1:28" ht="14.25" customHeight="1" x14ac:dyDescent="0.2">
      <c r="A754" s="270"/>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row>
    <row r="755" spans="1:28" ht="14.25" customHeight="1" x14ac:dyDescent="0.2">
      <c r="A755" s="270"/>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row>
    <row r="756" spans="1:28" ht="14.25" customHeight="1" x14ac:dyDescent="0.2">
      <c r="A756" s="270"/>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row>
    <row r="757" spans="1:28" ht="14.25" customHeight="1" x14ac:dyDescent="0.2">
      <c r="A757" s="270"/>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row>
    <row r="758" spans="1:28" ht="14.25" customHeight="1" x14ac:dyDescent="0.2">
      <c r="A758" s="270"/>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row>
    <row r="759" spans="1:28" ht="14.25" customHeight="1" x14ac:dyDescent="0.2">
      <c r="A759" s="270"/>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row>
    <row r="760" spans="1:28" ht="14.25" customHeight="1" x14ac:dyDescent="0.2">
      <c r="A760" s="270"/>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row>
    <row r="761" spans="1:28" ht="14.25" customHeight="1" x14ac:dyDescent="0.2">
      <c r="A761" s="270"/>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row>
    <row r="762" spans="1:28" ht="14.25" customHeight="1" x14ac:dyDescent="0.2">
      <c r="A762" s="270"/>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row>
    <row r="763" spans="1:28" ht="14.25" customHeight="1" x14ac:dyDescent="0.2">
      <c r="A763" s="270"/>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row>
    <row r="764" spans="1:28" ht="14.25" customHeight="1" x14ac:dyDescent="0.2">
      <c r="A764" s="270"/>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row>
    <row r="765" spans="1:28" ht="14.25" customHeight="1" x14ac:dyDescent="0.2">
      <c r="A765" s="270"/>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row>
    <row r="766" spans="1:28" ht="14.25" customHeight="1" x14ac:dyDescent="0.2">
      <c r="A766" s="270"/>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row>
    <row r="767" spans="1:28" ht="14.25" customHeight="1" x14ac:dyDescent="0.2">
      <c r="A767" s="270"/>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row>
    <row r="768" spans="1:28" ht="14.25" customHeight="1" x14ac:dyDescent="0.2">
      <c r="A768" s="270"/>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row>
    <row r="769" spans="1:28" ht="14.25" customHeight="1" x14ac:dyDescent="0.2">
      <c r="A769" s="270"/>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row>
    <row r="770" spans="1:28" ht="14.25" customHeight="1" x14ac:dyDescent="0.2">
      <c r="A770" s="270"/>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row>
    <row r="771" spans="1:28" ht="14.25" customHeight="1" x14ac:dyDescent="0.2">
      <c r="A771" s="270"/>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row>
    <row r="772" spans="1:28" ht="14.25" customHeight="1" x14ac:dyDescent="0.2">
      <c r="A772" s="270"/>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row>
    <row r="773" spans="1:28" ht="14.25" customHeight="1" x14ac:dyDescent="0.2">
      <c r="A773" s="270"/>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row>
    <row r="774" spans="1:28" ht="14.25" customHeight="1" x14ac:dyDescent="0.2">
      <c r="A774" s="270"/>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row>
    <row r="775" spans="1:28" ht="14.25" customHeight="1" x14ac:dyDescent="0.2">
      <c r="A775" s="270"/>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row>
    <row r="776" spans="1:28" ht="14.25" customHeight="1" x14ac:dyDescent="0.2">
      <c r="A776" s="270"/>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row>
    <row r="777" spans="1:28" ht="14.25" customHeight="1" x14ac:dyDescent="0.2">
      <c r="A777" s="270"/>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row>
    <row r="778" spans="1:28" ht="14.25" customHeight="1" x14ac:dyDescent="0.2">
      <c r="A778" s="270"/>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row>
    <row r="779" spans="1:28" ht="14.25" customHeight="1" x14ac:dyDescent="0.2">
      <c r="A779" s="270"/>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row>
    <row r="780" spans="1:28" ht="14.25" customHeight="1" x14ac:dyDescent="0.2">
      <c r="A780" s="270"/>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row>
    <row r="781" spans="1:28" ht="14.25" customHeight="1" x14ac:dyDescent="0.2">
      <c r="A781" s="270"/>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row>
    <row r="782" spans="1:28" ht="14.25" customHeight="1" x14ac:dyDescent="0.2">
      <c r="A782" s="270"/>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row>
    <row r="783" spans="1:28" ht="14.25" customHeight="1" x14ac:dyDescent="0.2">
      <c r="A783" s="270"/>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row>
    <row r="784" spans="1:28" ht="14.25" customHeight="1" x14ac:dyDescent="0.2">
      <c r="A784" s="270"/>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row>
    <row r="785" spans="1:28" ht="14.25" customHeight="1" x14ac:dyDescent="0.2">
      <c r="A785" s="270"/>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row>
    <row r="786" spans="1:28" ht="14.25" customHeight="1" x14ac:dyDescent="0.2">
      <c r="A786" s="270"/>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row>
    <row r="787" spans="1:28" ht="14.25" customHeight="1" x14ac:dyDescent="0.2">
      <c r="A787" s="270"/>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row>
    <row r="788" spans="1:28" ht="14.25" customHeight="1" x14ac:dyDescent="0.2">
      <c r="A788" s="270"/>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row>
    <row r="789" spans="1:28" ht="14.25" customHeight="1" x14ac:dyDescent="0.2">
      <c r="A789" s="270"/>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row>
    <row r="790" spans="1:28" ht="14.25" customHeight="1" x14ac:dyDescent="0.2">
      <c r="A790" s="270"/>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row>
    <row r="791" spans="1:28" ht="14.25" customHeight="1" x14ac:dyDescent="0.2">
      <c r="A791" s="270"/>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row>
    <row r="792" spans="1:28" ht="14.25" customHeight="1" x14ac:dyDescent="0.2">
      <c r="A792" s="270"/>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row>
    <row r="793" spans="1:28" ht="14.25" customHeight="1" x14ac:dyDescent="0.2">
      <c r="A793" s="270"/>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row>
    <row r="794" spans="1:28" ht="14.25" customHeight="1" x14ac:dyDescent="0.2">
      <c r="A794" s="270"/>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row>
    <row r="795" spans="1:28" ht="14.25" customHeight="1" x14ac:dyDescent="0.2">
      <c r="A795" s="270"/>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row>
    <row r="796" spans="1:28" ht="14.25" customHeight="1" x14ac:dyDescent="0.2">
      <c r="A796" s="270"/>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row>
    <row r="797" spans="1:28" ht="14.25" customHeight="1" x14ac:dyDescent="0.2">
      <c r="A797" s="270"/>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row>
    <row r="798" spans="1:28" ht="14.25" customHeight="1" x14ac:dyDescent="0.2">
      <c r="A798" s="270"/>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row>
    <row r="799" spans="1:28" ht="14.25" customHeight="1" x14ac:dyDescent="0.2">
      <c r="A799" s="270"/>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row>
    <row r="800" spans="1:28" ht="14.25" customHeight="1" x14ac:dyDescent="0.2">
      <c r="A800" s="270"/>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row>
    <row r="801" spans="1:28" ht="14.25" customHeight="1" x14ac:dyDescent="0.2">
      <c r="A801" s="270"/>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row>
    <row r="802" spans="1:28" ht="14.25" customHeight="1" x14ac:dyDescent="0.2">
      <c r="A802" s="270"/>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row>
    <row r="803" spans="1:28" ht="14.25" customHeight="1" x14ac:dyDescent="0.2">
      <c r="A803" s="270"/>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row>
    <row r="804" spans="1:28" ht="14.25" customHeight="1" x14ac:dyDescent="0.2">
      <c r="A804" s="270"/>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row>
    <row r="805" spans="1:28" ht="14.25" customHeight="1" x14ac:dyDescent="0.2">
      <c r="A805" s="270"/>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row>
    <row r="806" spans="1:28" ht="14.25" customHeight="1" x14ac:dyDescent="0.2">
      <c r="A806" s="270"/>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row>
    <row r="807" spans="1:28" ht="14.25" customHeight="1" x14ac:dyDescent="0.2">
      <c r="A807" s="270"/>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row>
    <row r="808" spans="1:28" ht="14.25" customHeight="1" x14ac:dyDescent="0.2">
      <c r="A808" s="270"/>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row>
    <row r="809" spans="1:28" ht="14.25" customHeight="1" x14ac:dyDescent="0.2">
      <c r="A809" s="270"/>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row>
    <row r="810" spans="1:28" ht="14.25" customHeight="1" x14ac:dyDescent="0.2">
      <c r="A810" s="270"/>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row>
    <row r="811" spans="1:28" ht="14.25" customHeight="1" x14ac:dyDescent="0.2">
      <c r="A811" s="270"/>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row>
    <row r="812" spans="1:28" ht="14.25" customHeight="1" x14ac:dyDescent="0.2">
      <c r="A812" s="270"/>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row>
    <row r="813" spans="1:28" ht="14.25" customHeight="1" x14ac:dyDescent="0.2">
      <c r="A813" s="270"/>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row>
    <row r="814" spans="1:28" ht="14.25" customHeight="1" x14ac:dyDescent="0.2">
      <c r="A814" s="270"/>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row>
    <row r="815" spans="1:28" ht="14.25" customHeight="1" x14ac:dyDescent="0.2">
      <c r="A815" s="270"/>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row>
    <row r="816" spans="1:28" ht="14.25" customHeight="1" x14ac:dyDescent="0.2">
      <c r="A816" s="270"/>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row>
    <row r="817" spans="1:28" ht="14.25" customHeight="1" x14ac:dyDescent="0.2">
      <c r="A817" s="270"/>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row>
    <row r="818" spans="1:28" ht="14.25" customHeight="1" x14ac:dyDescent="0.2">
      <c r="A818" s="270"/>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row>
    <row r="819" spans="1:28" ht="14.25" customHeight="1" x14ac:dyDescent="0.2">
      <c r="A819" s="270"/>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row>
    <row r="820" spans="1:28" ht="14.25" customHeight="1" x14ac:dyDescent="0.2">
      <c r="A820" s="270"/>
      <c r="B820" s="270"/>
      <c r="C820" s="270"/>
      <c r="D820" s="270"/>
      <c r="E820" s="270"/>
      <c r="F820" s="270"/>
      <c r="G820" s="270"/>
      <c r="H820" s="270"/>
      <c r="I820" s="270"/>
      <c r="J820" s="270"/>
      <c r="K820" s="270"/>
      <c r="L820" s="270"/>
      <c r="M820" s="270"/>
      <c r="N820" s="270"/>
      <c r="O820" s="270"/>
      <c r="P820" s="270"/>
      <c r="Q820" s="270"/>
      <c r="R820" s="270"/>
      <c r="S820" s="270"/>
      <c r="T820" s="270"/>
      <c r="U820" s="270"/>
      <c r="V820" s="270"/>
      <c r="W820" s="270"/>
      <c r="X820" s="270"/>
      <c r="Y820" s="270"/>
      <c r="Z820" s="270"/>
      <c r="AA820" s="270"/>
      <c r="AB820" s="270"/>
    </row>
    <row r="821" spans="1:28" ht="14.25" customHeight="1" x14ac:dyDescent="0.2">
      <c r="A821" s="270"/>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c r="AA821" s="270"/>
      <c r="AB821" s="270"/>
    </row>
    <row r="822" spans="1:28" ht="14.25" customHeight="1" x14ac:dyDescent="0.2">
      <c r="A822" s="270"/>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row>
    <row r="823" spans="1:28" ht="14.25" customHeight="1" x14ac:dyDescent="0.2">
      <c r="A823" s="270"/>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c r="AA823" s="270"/>
      <c r="AB823" s="270"/>
    </row>
    <row r="824" spans="1:28" ht="14.25" customHeight="1" x14ac:dyDescent="0.2">
      <c r="A824" s="270"/>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c r="AA824" s="270"/>
      <c r="AB824" s="270"/>
    </row>
    <row r="825" spans="1:28" ht="14.25" customHeight="1" x14ac:dyDescent="0.2">
      <c r="A825" s="270"/>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c r="AA825" s="270"/>
      <c r="AB825" s="270"/>
    </row>
    <row r="826" spans="1:28" ht="14.25" customHeight="1" x14ac:dyDescent="0.2">
      <c r="A826" s="270"/>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row>
    <row r="827" spans="1:28" ht="14.25" customHeight="1" x14ac:dyDescent="0.2">
      <c r="A827" s="270"/>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row>
    <row r="828" spans="1:28" ht="14.25" customHeight="1" x14ac:dyDescent="0.2">
      <c r="A828" s="270"/>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row>
    <row r="829" spans="1:28" ht="14.25" customHeight="1" x14ac:dyDescent="0.2">
      <c r="A829" s="270"/>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row>
    <row r="830" spans="1:28" ht="14.25" customHeight="1" x14ac:dyDescent="0.2">
      <c r="A830" s="270"/>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row>
    <row r="831" spans="1:28" ht="14.25" customHeight="1" x14ac:dyDescent="0.2">
      <c r="A831" s="270"/>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row>
    <row r="832" spans="1:28" ht="14.25" customHeight="1" x14ac:dyDescent="0.2">
      <c r="A832" s="270"/>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row>
    <row r="833" spans="1:28" ht="14.25" customHeight="1" x14ac:dyDescent="0.2">
      <c r="A833" s="270"/>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row>
    <row r="834" spans="1:28" ht="14.25" customHeight="1" x14ac:dyDescent="0.2">
      <c r="A834" s="270"/>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row>
    <row r="835" spans="1:28" ht="14.25" customHeight="1" x14ac:dyDescent="0.2">
      <c r="A835" s="270"/>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row>
    <row r="836" spans="1:28" ht="14.25" customHeight="1" x14ac:dyDescent="0.2">
      <c r="A836" s="270"/>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row>
    <row r="837" spans="1:28" ht="14.25" customHeight="1" x14ac:dyDescent="0.2">
      <c r="A837" s="270"/>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row>
    <row r="838" spans="1:28" ht="14.25" customHeight="1" x14ac:dyDescent="0.2">
      <c r="A838" s="270"/>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row>
    <row r="839" spans="1:28" ht="14.25" customHeight="1" x14ac:dyDescent="0.2">
      <c r="A839" s="270"/>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c r="X839" s="270"/>
      <c r="Y839" s="270"/>
      <c r="Z839" s="270"/>
      <c r="AA839" s="270"/>
      <c r="AB839" s="270"/>
    </row>
    <row r="840" spans="1:28" ht="14.25" customHeight="1" x14ac:dyDescent="0.2">
      <c r="A840" s="270"/>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row>
    <row r="841" spans="1:28" ht="14.25" customHeight="1" x14ac:dyDescent="0.2">
      <c r="A841" s="270"/>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row>
    <row r="842" spans="1:28" ht="14.25" customHeight="1" x14ac:dyDescent="0.2">
      <c r="A842" s="270"/>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row>
    <row r="843" spans="1:28" ht="14.25" customHeight="1" x14ac:dyDescent="0.2">
      <c r="A843" s="270"/>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row>
    <row r="844" spans="1:28" ht="14.25" customHeight="1" x14ac:dyDescent="0.2">
      <c r="A844" s="270"/>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row>
    <row r="845" spans="1:28" ht="14.25" customHeight="1" x14ac:dyDescent="0.2">
      <c r="A845" s="270"/>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row>
    <row r="846" spans="1:28" ht="14.25" customHeight="1" x14ac:dyDescent="0.2">
      <c r="A846" s="270"/>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row>
    <row r="847" spans="1:28" ht="14.25" customHeight="1" x14ac:dyDescent="0.2">
      <c r="A847" s="270"/>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row>
    <row r="848" spans="1:28" ht="14.25" customHeight="1" x14ac:dyDescent="0.2">
      <c r="A848" s="270"/>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row>
    <row r="849" spans="1:28" ht="14.25" customHeight="1" x14ac:dyDescent="0.2">
      <c r="A849" s="270"/>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row>
    <row r="850" spans="1:28" ht="14.25" customHeight="1" x14ac:dyDescent="0.2">
      <c r="A850" s="270"/>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row>
    <row r="851" spans="1:28" ht="14.25" customHeight="1" x14ac:dyDescent="0.2">
      <c r="A851" s="270"/>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row>
    <row r="852" spans="1:28" ht="14.25" customHeight="1" x14ac:dyDescent="0.2">
      <c r="A852" s="270"/>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c r="X852" s="270"/>
      <c r="Y852" s="270"/>
      <c r="Z852" s="270"/>
      <c r="AA852" s="270"/>
      <c r="AB852" s="270"/>
    </row>
    <row r="853" spans="1:28" ht="14.25" customHeight="1" x14ac:dyDescent="0.2">
      <c r="A853" s="270"/>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row>
    <row r="854" spans="1:28" ht="14.25" customHeight="1" x14ac:dyDescent="0.2">
      <c r="A854" s="270"/>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row>
    <row r="855" spans="1:28" ht="14.25" customHeight="1" x14ac:dyDescent="0.2">
      <c r="A855" s="270"/>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row>
    <row r="856" spans="1:28" ht="14.25" customHeight="1" x14ac:dyDescent="0.2">
      <c r="A856" s="270"/>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c r="X856" s="270"/>
      <c r="Y856" s="270"/>
      <c r="Z856" s="270"/>
      <c r="AA856" s="270"/>
      <c r="AB856" s="270"/>
    </row>
    <row r="857" spans="1:28" ht="14.25" customHeight="1" x14ac:dyDescent="0.2">
      <c r="A857" s="270"/>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c r="AA857" s="270"/>
      <c r="AB857" s="270"/>
    </row>
    <row r="858" spans="1:28" ht="14.25" customHeight="1" x14ac:dyDescent="0.2">
      <c r="A858" s="270"/>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row>
    <row r="859" spans="1:28" ht="14.25" customHeight="1" x14ac:dyDescent="0.2">
      <c r="A859" s="270"/>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row>
    <row r="860" spans="1:28" ht="14.25" customHeight="1" x14ac:dyDescent="0.2">
      <c r="A860" s="270"/>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row>
    <row r="861" spans="1:28" ht="14.25" customHeight="1" x14ac:dyDescent="0.2">
      <c r="A861" s="270"/>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row>
    <row r="862" spans="1:28" ht="14.25" customHeight="1" x14ac:dyDescent="0.2">
      <c r="A862" s="270"/>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row>
    <row r="863" spans="1:28" ht="14.25" customHeight="1" x14ac:dyDescent="0.2">
      <c r="A863" s="270"/>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row>
    <row r="864" spans="1:28" ht="14.25" customHeight="1" x14ac:dyDescent="0.2">
      <c r="A864" s="270"/>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row>
    <row r="865" spans="1:28" ht="14.25" customHeight="1" x14ac:dyDescent="0.2">
      <c r="A865" s="270"/>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row>
    <row r="866" spans="1:28" ht="14.25" customHeight="1" x14ac:dyDescent="0.2">
      <c r="A866" s="270"/>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row>
    <row r="867" spans="1:28" ht="14.25" customHeight="1" x14ac:dyDescent="0.2">
      <c r="A867" s="270"/>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row>
    <row r="868" spans="1:28" ht="14.25" customHeight="1" x14ac:dyDescent="0.2">
      <c r="A868" s="270"/>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row>
    <row r="869" spans="1:28" ht="14.25" customHeight="1" x14ac:dyDescent="0.2">
      <c r="A869" s="270"/>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row>
    <row r="870" spans="1:28" ht="14.25" customHeight="1" x14ac:dyDescent="0.2">
      <c r="A870" s="270"/>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row>
    <row r="871" spans="1:28" ht="14.25" customHeight="1" x14ac:dyDescent="0.2">
      <c r="A871" s="270"/>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c r="X871" s="270"/>
      <c r="Y871" s="270"/>
      <c r="Z871" s="270"/>
      <c r="AA871" s="270"/>
      <c r="AB871" s="270"/>
    </row>
    <row r="872" spans="1:28" ht="14.25" customHeight="1" x14ac:dyDescent="0.2">
      <c r="A872" s="270"/>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c r="AB872" s="270"/>
    </row>
    <row r="873" spans="1:28" ht="14.25" customHeight="1" x14ac:dyDescent="0.2">
      <c r="A873" s="270"/>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row>
    <row r="874" spans="1:28" ht="14.25" customHeight="1" x14ac:dyDescent="0.2">
      <c r="A874" s="270"/>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row>
    <row r="875" spans="1:28" ht="14.25" customHeight="1" x14ac:dyDescent="0.2">
      <c r="A875" s="270"/>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row>
    <row r="876" spans="1:28" ht="14.25" customHeight="1" x14ac:dyDescent="0.2">
      <c r="A876" s="270"/>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row>
    <row r="877" spans="1:28" ht="14.25" customHeight="1" x14ac:dyDescent="0.2">
      <c r="A877" s="270"/>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row>
    <row r="878" spans="1:28" ht="14.25" customHeight="1" x14ac:dyDescent="0.2">
      <c r="A878" s="270"/>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row>
    <row r="879" spans="1:28" ht="14.25" customHeight="1" x14ac:dyDescent="0.2">
      <c r="A879" s="270"/>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row>
    <row r="880" spans="1:28" ht="14.25" customHeight="1" x14ac:dyDescent="0.2">
      <c r="A880" s="270"/>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row>
    <row r="881" spans="1:28" ht="14.25" customHeight="1" x14ac:dyDescent="0.2">
      <c r="A881" s="270"/>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row>
    <row r="882" spans="1:28" ht="14.25" customHeight="1" x14ac:dyDescent="0.2">
      <c r="A882" s="270"/>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row>
    <row r="883" spans="1:28" ht="14.25" customHeight="1" x14ac:dyDescent="0.2">
      <c r="A883" s="270"/>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row>
    <row r="884" spans="1:28" ht="14.25" customHeight="1" x14ac:dyDescent="0.2">
      <c r="A884" s="270"/>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row>
    <row r="885" spans="1:28" ht="14.25" customHeight="1" x14ac:dyDescent="0.2">
      <c r="A885" s="270"/>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row>
    <row r="886" spans="1:28" ht="14.25" customHeight="1" x14ac:dyDescent="0.2">
      <c r="A886" s="270"/>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row>
    <row r="887" spans="1:28" ht="14.25" customHeight="1" x14ac:dyDescent="0.2">
      <c r="A887" s="270"/>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row>
    <row r="888" spans="1:28" ht="14.25" customHeight="1" x14ac:dyDescent="0.2">
      <c r="A888" s="270"/>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row>
    <row r="889" spans="1:28" ht="14.25" customHeight="1" x14ac:dyDescent="0.2">
      <c r="A889" s="270"/>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row>
    <row r="890" spans="1:28" ht="14.25" customHeight="1" x14ac:dyDescent="0.2">
      <c r="A890" s="270"/>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row>
    <row r="891" spans="1:28" ht="14.25" customHeight="1" x14ac:dyDescent="0.2">
      <c r="A891" s="270"/>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row>
    <row r="892" spans="1:28" ht="14.25" customHeight="1" x14ac:dyDescent="0.2">
      <c r="A892" s="270"/>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row>
    <row r="893" spans="1:28" ht="14.25" customHeight="1" x14ac:dyDescent="0.2">
      <c r="A893" s="270"/>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row>
    <row r="894" spans="1:28" ht="14.25" customHeight="1" x14ac:dyDescent="0.2">
      <c r="A894" s="270"/>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row>
    <row r="895" spans="1:28" ht="14.25" customHeight="1" x14ac:dyDescent="0.2">
      <c r="A895" s="270"/>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row>
    <row r="896" spans="1:28" ht="14.25" customHeight="1" x14ac:dyDescent="0.2">
      <c r="A896" s="270"/>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row>
    <row r="897" spans="1:28" ht="14.25" customHeight="1" x14ac:dyDescent="0.2">
      <c r="A897" s="270"/>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row>
    <row r="898" spans="1:28" ht="14.25" customHeight="1" x14ac:dyDescent="0.2">
      <c r="A898" s="270"/>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row>
    <row r="899" spans="1:28" ht="14.25" customHeight="1" x14ac:dyDescent="0.2">
      <c r="A899" s="270"/>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row>
    <row r="900" spans="1:28" ht="14.25" customHeight="1" x14ac:dyDescent="0.2">
      <c r="A900" s="270"/>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row>
    <row r="901" spans="1:28" ht="14.25" customHeight="1" x14ac:dyDescent="0.2">
      <c r="A901" s="270"/>
      <c r="B901" s="270"/>
      <c r="C901" s="270"/>
      <c r="D901" s="270"/>
      <c r="E901" s="270"/>
      <c r="F901" s="270"/>
      <c r="G901" s="270"/>
      <c r="H901" s="270"/>
      <c r="I901" s="270"/>
      <c r="J901" s="270"/>
      <c r="K901" s="270"/>
      <c r="L901" s="270"/>
      <c r="M901" s="270"/>
      <c r="N901" s="270"/>
      <c r="O901" s="270"/>
      <c r="P901" s="270"/>
      <c r="Q901" s="270"/>
      <c r="R901" s="270"/>
      <c r="S901" s="270"/>
      <c r="T901" s="270"/>
      <c r="U901" s="270"/>
      <c r="V901" s="270"/>
      <c r="W901" s="270"/>
      <c r="X901" s="270"/>
      <c r="Y901" s="270"/>
      <c r="Z901" s="270"/>
      <c r="AA901" s="270"/>
      <c r="AB901" s="270"/>
    </row>
    <row r="902" spans="1:28" ht="14.25" customHeight="1" x14ac:dyDescent="0.2">
      <c r="A902" s="270"/>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c r="X902" s="270"/>
      <c r="Y902" s="270"/>
      <c r="Z902" s="270"/>
      <c r="AA902" s="270"/>
      <c r="AB902" s="270"/>
    </row>
    <row r="903" spans="1:28" ht="14.25" customHeight="1" x14ac:dyDescent="0.2">
      <c r="A903" s="270"/>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row>
    <row r="904" spans="1:28" ht="14.25" customHeight="1" x14ac:dyDescent="0.2">
      <c r="A904" s="270"/>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row>
    <row r="905" spans="1:28" ht="14.25" customHeight="1" x14ac:dyDescent="0.2">
      <c r="A905" s="270"/>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row>
    <row r="906" spans="1:28" ht="14.25" customHeight="1" x14ac:dyDescent="0.2">
      <c r="A906" s="270"/>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row>
    <row r="907" spans="1:28" ht="14.25" customHeight="1" x14ac:dyDescent="0.2">
      <c r="A907" s="270"/>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row>
    <row r="908" spans="1:28" ht="14.25" customHeight="1" x14ac:dyDescent="0.2">
      <c r="A908" s="270"/>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row>
    <row r="909" spans="1:28" ht="14.25" customHeight="1" x14ac:dyDescent="0.2">
      <c r="A909" s="270"/>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row>
    <row r="910" spans="1:28" ht="14.25" customHeight="1" x14ac:dyDescent="0.2">
      <c r="A910" s="270"/>
      <c r="B910" s="270"/>
      <c r="C910" s="270"/>
      <c r="D910" s="270"/>
      <c r="E910" s="270"/>
      <c r="F910" s="270"/>
      <c r="G910" s="270"/>
      <c r="H910" s="270"/>
      <c r="I910" s="270"/>
      <c r="J910" s="270"/>
      <c r="K910" s="270"/>
      <c r="L910" s="270"/>
      <c r="M910" s="270"/>
      <c r="N910" s="270"/>
      <c r="O910" s="270"/>
      <c r="P910" s="270"/>
      <c r="Q910" s="270"/>
      <c r="R910" s="270"/>
      <c r="S910" s="270"/>
      <c r="T910" s="270"/>
      <c r="U910" s="270"/>
      <c r="V910" s="270"/>
      <c r="W910" s="270"/>
      <c r="X910" s="270"/>
      <c r="Y910" s="270"/>
      <c r="Z910" s="270"/>
      <c r="AA910" s="270"/>
      <c r="AB910" s="270"/>
    </row>
    <row r="911" spans="1:28" ht="14.25" customHeight="1" x14ac:dyDescent="0.2">
      <c r="A911" s="270"/>
      <c r="B911" s="270"/>
      <c r="C911" s="270"/>
      <c r="D911" s="270"/>
      <c r="E911" s="270"/>
      <c r="F911" s="270"/>
      <c r="G911" s="270"/>
      <c r="H911" s="270"/>
      <c r="I911" s="270"/>
      <c r="J911" s="270"/>
      <c r="K911" s="270"/>
      <c r="L911" s="270"/>
      <c r="M911" s="270"/>
      <c r="N911" s="270"/>
      <c r="O911" s="270"/>
      <c r="P911" s="270"/>
      <c r="Q911" s="270"/>
      <c r="R911" s="270"/>
      <c r="S911" s="270"/>
      <c r="T911" s="270"/>
      <c r="U911" s="270"/>
      <c r="V911" s="270"/>
      <c r="W911" s="270"/>
      <c r="X911" s="270"/>
      <c r="Y911" s="270"/>
      <c r="Z911" s="270"/>
      <c r="AA911" s="270"/>
      <c r="AB911" s="270"/>
    </row>
    <row r="912" spans="1:28" ht="14.25" customHeight="1" x14ac:dyDescent="0.2">
      <c r="A912" s="270"/>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c r="AA912" s="270"/>
      <c r="AB912" s="270"/>
    </row>
    <row r="913" spans="1:28" ht="14.25" customHeight="1" x14ac:dyDescent="0.2">
      <c r="A913" s="270"/>
      <c r="B913" s="270"/>
      <c r="C913" s="270"/>
      <c r="D913" s="270"/>
      <c r="E913" s="270"/>
      <c r="F913" s="270"/>
      <c r="G913" s="270"/>
      <c r="H913" s="270"/>
      <c r="I913" s="270"/>
      <c r="J913" s="270"/>
      <c r="K913" s="270"/>
      <c r="L913" s="270"/>
      <c r="M913" s="270"/>
      <c r="N913" s="270"/>
      <c r="O913" s="270"/>
      <c r="P913" s="270"/>
      <c r="Q913" s="270"/>
      <c r="R913" s="270"/>
      <c r="S913" s="270"/>
      <c r="T913" s="270"/>
      <c r="U913" s="270"/>
      <c r="V913" s="270"/>
      <c r="W913" s="270"/>
      <c r="X913" s="270"/>
      <c r="Y913" s="270"/>
      <c r="Z913" s="270"/>
      <c r="AA913" s="270"/>
      <c r="AB913" s="270"/>
    </row>
    <row r="914" spans="1:28" ht="14.25" customHeight="1" x14ac:dyDescent="0.2">
      <c r="A914" s="270"/>
      <c r="B914" s="270"/>
      <c r="C914" s="270"/>
      <c r="D914" s="270"/>
      <c r="E914" s="270"/>
      <c r="F914" s="270"/>
      <c r="G914" s="270"/>
      <c r="H914" s="270"/>
      <c r="I914" s="270"/>
      <c r="J914" s="270"/>
      <c r="K914" s="270"/>
      <c r="L914" s="270"/>
      <c r="M914" s="270"/>
      <c r="N914" s="270"/>
      <c r="O914" s="270"/>
      <c r="P914" s="270"/>
      <c r="Q914" s="270"/>
      <c r="R914" s="270"/>
      <c r="S914" s="270"/>
      <c r="T914" s="270"/>
      <c r="U914" s="270"/>
      <c r="V914" s="270"/>
      <c r="W914" s="270"/>
      <c r="X914" s="270"/>
      <c r="Y914" s="270"/>
      <c r="Z914" s="270"/>
      <c r="AA914" s="270"/>
      <c r="AB914" s="270"/>
    </row>
    <row r="915" spans="1:28" ht="14.25" customHeight="1" x14ac:dyDescent="0.2">
      <c r="A915" s="270"/>
      <c r="B915" s="270"/>
      <c r="C915" s="270"/>
      <c r="D915" s="270"/>
      <c r="E915" s="270"/>
      <c r="F915" s="270"/>
      <c r="G915" s="270"/>
      <c r="H915" s="270"/>
      <c r="I915" s="270"/>
      <c r="J915" s="270"/>
      <c r="K915" s="270"/>
      <c r="L915" s="270"/>
      <c r="M915" s="270"/>
      <c r="N915" s="270"/>
      <c r="O915" s="270"/>
      <c r="P915" s="270"/>
      <c r="Q915" s="270"/>
      <c r="R915" s="270"/>
      <c r="S915" s="270"/>
      <c r="T915" s="270"/>
      <c r="U915" s="270"/>
      <c r="V915" s="270"/>
      <c r="W915" s="270"/>
      <c r="X915" s="270"/>
      <c r="Y915" s="270"/>
      <c r="Z915" s="270"/>
      <c r="AA915" s="270"/>
      <c r="AB915" s="270"/>
    </row>
    <row r="916" spans="1:28" ht="14.25" customHeight="1" x14ac:dyDescent="0.2">
      <c r="A916" s="270"/>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row>
    <row r="917" spans="1:28" ht="14.25" customHeight="1" x14ac:dyDescent="0.2">
      <c r="A917" s="270"/>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row>
    <row r="918" spans="1:28" ht="14.25" customHeight="1" x14ac:dyDescent="0.2">
      <c r="A918" s="270"/>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row>
    <row r="919" spans="1:28" ht="14.25" customHeight="1" x14ac:dyDescent="0.2">
      <c r="A919" s="270"/>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row>
    <row r="920" spans="1:28" ht="14.25" customHeight="1" x14ac:dyDescent="0.2">
      <c r="A920" s="270"/>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row>
    <row r="921" spans="1:28" ht="14.25" customHeight="1" x14ac:dyDescent="0.2">
      <c r="A921" s="270"/>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row>
    <row r="922" spans="1:28" ht="14.25" customHeight="1" x14ac:dyDescent="0.2">
      <c r="A922" s="270"/>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row>
    <row r="923" spans="1:28" ht="14.25" customHeight="1" x14ac:dyDescent="0.2">
      <c r="A923" s="270"/>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row>
    <row r="924" spans="1:28" ht="14.25" customHeight="1" x14ac:dyDescent="0.2">
      <c r="A924" s="270"/>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row>
    <row r="925" spans="1:28" ht="14.25" customHeight="1" x14ac:dyDescent="0.2">
      <c r="A925" s="270"/>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row>
    <row r="926" spans="1:28" ht="14.25" customHeight="1" x14ac:dyDescent="0.2">
      <c r="A926" s="270"/>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row>
    <row r="927" spans="1:28" ht="14.25" customHeight="1" x14ac:dyDescent="0.2">
      <c r="A927" s="270"/>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row>
    <row r="928" spans="1:28" ht="14.25" customHeight="1" x14ac:dyDescent="0.2">
      <c r="A928" s="270"/>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row>
    <row r="929" spans="1:28" ht="14.25" customHeight="1" x14ac:dyDescent="0.2">
      <c r="A929" s="270"/>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row>
    <row r="930" spans="1:28" ht="14.25" customHeight="1" x14ac:dyDescent="0.2">
      <c r="A930" s="270"/>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row>
    <row r="931" spans="1:28" ht="14.25" customHeight="1" x14ac:dyDescent="0.2">
      <c r="A931" s="270"/>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row>
    <row r="932" spans="1:28" ht="14.25" customHeight="1" x14ac:dyDescent="0.2">
      <c r="A932" s="270"/>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row>
    <row r="933" spans="1:28" ht="14.25" customHeight="1" x14ac:dyDescent="0.2">
      <c r="A933" s="270"/>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row>
    <row r="934" spans="1:28" ht="14.25" customHeight="1" x14ac:dyDescent="0.2">
      <c r="A934" s="270"/>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row>
    <row r="935" spans="1:28" ht="14.25" customHeight="1" x14ac:dyDescent="0.2">
      <c r="A935" s="270"/>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row>
    <row r="936" spans="1:28" ht="14.25" customHeight="1" x14ac:dyDescent="0.2">
      <c r="A936" s="270"/>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row>
    <row r="937" spans="1:28" ht="14.25" customHeight="1" x14ac:dyDescent="0.2">
      <c r="A937" s="270"/>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row>
    <row r="938" spans="1:28" ht="14.25" customHeight="1" x14ac:dyDescent="0.2">
      <c r="A938" s="270"/>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row>
    <row r="939" spans="1:28" ht="14.25" customHeight="1" x14ac:dyDescent="0.2">
      <c r="A939" s="270"/>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row>
    <row r="940" spans="1:28" ht="14.25" customHeight="1" x14ac:dyDescent="0.2">
      <c r="A940" s="270"/>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row>
    <row r="941" spans="1:28" ht="14.25" customHeight="1" x14ac:dyDescent="0.2">
      <c r="A941" s="270"/>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row>
    <row r="942" spans="1:28" ht="14.25" customHeight="1" x14ac:dyDescent="0.2">
      <c r="A942" s="270"/>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row>
    <row r="943" spans="1:28" ht="14.25" customHeight="1" x14ac:dyDescent="0.2">
      <c r="A943" s="270"/>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row>
    <row r="944" spans="1:28" ht="14.25" customHeight="1" x14ac:dyDescent="0.2">
      <c r="A944" s="270"/>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row>
    <row r="945" spans="1:28" ht="14.25" customHeight="1" x14ac:dyDescent="0.2">
      <c r="A945" s="270"/>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row>
    <row r="946" spans="1:28" ht="14.25" customHeight="1" x14ac:dyDescent="0.2">
      <c r="A946" s="270"/>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row>
    <row r="947" spans="1:28" ht="14.25" customHeight="1" x14ac:dyDescent="0.2">
      <c r="A947" s="270"/>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row>
    <row r="948" spans="1:28" ht="14.25" customHeight="1" x14ac:dyDescent="0.2">
      <c r="A948" s="270"/>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row>
    <row r="949" spans="1:28" ht="14.25" customHeight="1" x14ac:dyDescent="0.2">
      <c r="A949" s="270"/>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row>
    <row r="950" spans="1:28" ht="14.25" customHeight="1" x14ac:dyDescent="0.2">
      <c r="A950" s="270"/>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row>
    <row r="951" spans="1:28" ht="14.25" customHeight="1" x14ac:dyDescent="0.2">
      <c r="A951" s="270"/>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row>
    <row r="952" spans="1:28" ht="14.25" customHeight="1" x14ac:dyDescent="0.2">
      <c r="A952" s="270"/>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row>
    <row r="953" spans="1:28" ht="14.25" customHeight="1" x14ac:dyDescent="0.2">
      <c r="A953" s="270"/>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row>
    <row r="954" spans="1:28" ht="14.25" customHeight="1" x14ac:dyDescent="0.2">
      <c r="A954" s="270"/>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row>
    <row r="955" spans="1:28" ht="14.25" customHeight="1" x14ac:dyDescent="0.2">
      <c r="A955" s="270"/>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row>
    <row r="956" spans="1:28" ht="14.25" customHeight="1" x14ac:dyDescent="0.2">
      <c r="A956" s="270"/>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row>
    <row r="957" spans="1:28" ht="14.25" customHeight="1" x14ac:dyDescent="0.2">
      <c r="A957" s="270"/>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row>
    <row r="958" spans="1:28" ht="14.25" customHeight="1" x14ac:dyDescent="0.2">
      <c r="A958" s="270"/>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row>
    <row r="959" spans="1:28" ht="14.25" customHeight="1" x14ac:dyDescent="0.2">
      <c r="A959" s="270"/>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row>
    <row r="960" spans="1:28" ht="14.25" customHeight="1" x14ac:dyDescent="0.2">
      <c r="A960" s="270"/>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row>
    <row r="961" spans="1:28" ht="14.25" customHeight="1" x14ac:dyDescent="0.2">
      <c r="A961" s="270"/>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row>
    <row r="962" spans="1:28" ht="14.25" customHeight="1" x14ac:dyDescent="0.2">
      <c r="A962" s="270"/>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row>
    <row r="963" spans="1:28" ht="14.25" customHeight="1" x14ac:dyDescent="0.2">
      <c r="A963" s="270"/>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row>
    <row r="964" spans="1:28" ht="14.25" customHeight="1" x14ac:dyDescent="0.2">
      <c r="A964" s="270"/>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row>
    <row r="965" spans="1:28" ht="14.25" customHeight="1" x14ac:dyDescent="0.2">
      <c r="A965" s="270"/>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row>
    <row r="966" spans="1:28" ht="14.25" customHeight="1" x14ac:dyDescent="0.2">
      <c r="A966" s="270"/>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row>
    <row r="967" spans="1:28" ht="14.25" customHeight="1" x14ac:dyDescent="0.2">
      <c r="A967" s="270"/>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row>
    <row r="968" spans="1:28" ht="14.25" customHeight="1" x14ac:dyDescent="0.2">
      <c r="A968" s="270"/>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row>
    <row r="969" spans="1:28" ht="14.25" customHeight="1" x14ac:dyDescent="0.2">
      <c r="A969" s="270"/>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row>
    <row r="970" spans="1:28" ht="14.25" customHeight="1" x14ac:dyDescent="0.2">
      <c r="A970" s="270"/>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row>
    <row r="971" spans="1:28" ht="14.25" customHeight="1" x14ac:dyDescent="0.2">
      <c r="A971" s="270"/>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row>
    <row r="972" spans="1:28" ht="14.25" customHeight="1" x14ac:dyDescent="0.2">
      <c r="A972" s="270"/>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row>
    <row r="973" spans="1:28" ht="14.25" customHeight="1" x14ac:dyDescent="0.2">
      <c r="A973" s="270"/>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row>
    <row r="974" spans="1:28" ht="14.25" customHeight="1" x14ac:dyDescent="0.2">
      <c r="A974" s="270"/>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row>
    <row r="975" spans="1:28" ht="14.25" customHeight="1" x14ac:dyDescent="0.2">
      <c r="A975" s="270"/>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row>
    <row r="976" spans="1:28" ht="14.25" customHeight="1" x14ac:dyDescent="0.2">
      <c r="A976" s="270"/>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row>
    <row r="977" spans="1:28" ht="14.25" customHeight="1" x14ac:dyDescent="0.2">
      <c r="A977" s="270"/>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row>
    <row r="978" spans="1:28" ht="14.25" customHeight="1" x14ac:dyDescent="0.2">
      <c r="A978" s="270"/>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row>
    <row r="979" spans="1:28" ht="14.25" customHeight="1" x14ac:dyDescent="0.2">
      <c r="A979" s="270"/>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c r="X979" s="270"/>
      <c r="Y979" s="270"/>
      <c r="Z979" s="270"/>
      <c r="AA979" s="270"/>
      <c r="AB979" s="270"/>
    </row>
    <row r="980" spans="1:28" ht="14.25" customHeight="1" x14ac:dyDescent="0.2">
      <c r="A980" s="270"/>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c r="AA980" s="270"/>
      <c r="AB980" s="270"/>
    </row>
    <row r="981" spans="1:28" ht="14.25" customHeight="1" x14ac:dyDescent="0.2">
      <c r="A981" s="270"/>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row>
    <row r="982" spans="1:28" ht="14.25" customHeight="1" x14ac:dyDescent="0.2">
      <c r="A982" s="270"/>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row>
    <row r="983" spans="1:28" ht="14.25" customHeight="1" x14ac:dyDescent="0.2">
      <c r="A983" s="270"/>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row>
    <row r="984" spans="1:28" ht="14.25" customHeight="1" x14ac:dyDescent="0.2">
      <c r="A984" s="270"/>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row>
    <row r="985" spans="1:28" ht="14.25" customHeight="1" x14ac:dyDescent="0.2">
      <c r="A985" s="270"/>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row>
    <row r="986" spans="1:28" ht="14.25" customHeight="1" x14ac:dyDescent="0.2">
      <c r="A986" s="270"/>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row>
    <row r="987" spans="1:28" ht="14.25" customHeight="1" x14ac:dyDescent="0.2">
      <c r="A987" s="270"/>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row>
    <row r="988" spans="1:28" ht="14.25" customHeight="1" x14ac:dyDescent="0.2">
      <c r="A988" s="270"/>
      <c r="B988" s="270"/>
      <c r="C988" s="270"/>
      <c r="D988" s="270"/>
      <c r="E988" s="270"/>
      <c r="F988" s="270"/>
      <c r="G988" s="270"/>
      <c r="H988" s="270"/>
      <c r="I988" s="270"/>
      <c r="J988" s="270"/>
      <c r="K988" s="270"/>
      <c r="L988" s="270"/>
      <c r="M988" s="270"/>
      <c r="N988" s="270"/>
      <c r="O988" s="270"/>
      <c r="P988" s="270"/>
      <c r="Q988" s="270"/>
      <c r="R988" s="270"/>
      <c r="S988" s="270"/>
      <c r="T988" s="270"/>
      <c r="U988" s="270"/>
      <c r="V988" s="270"/>
      <c r="W988" s="270"/>
      <c r="X988" s="270"/>
      <c r="Y988" s="270"/>
      <c r="Z988" s="270"/>
      <c r="AA988" s="270"/>
      <c r="AB988" s="270"/>
    </row>
    <row r="989" spans="1:28" ht="14.25" customHeight="1" x14ac:dyDescent="0.2">
      <c r="A989" s="270"/>
      <c r="B989" s="270"/>
      <c r="C989" s="270"/>
      <c r="D989" s="270"/>
      <c r="E989" s="270"/>
      <c r="F989" s="270"/>
      <c r="G989" s="270"/>
      <c r="H989" s="270"/>
      <c r="I989" s="270"/>
      <c r="J989" s="270"/>
      <c r="K989" s="270"/>
      <c r="L989" s="270"/>
      <c r="M989" s="270"/>
      <c r="N989" s="270"/>
      <c r="O989" s="270"/>
      <c r="P989" s="270"/>
      <c r="Q989" s="270"/>
      <c r="R989" s="270"/>
      <c r="S989" s="270"/>
      <c r="T989" s="270"/>
      <c r="U989" s="270"/>
      <c r="V989" s="270"/>
      <c r="W989" s="270"/>
      <c r="X989" s="270"/>
      <c r="Y989" s="270"/>
      <c r="Z989" s="270"/>
      <c r="AA989" s="270"/>
      <c r="AB989" s="270"/>
    </row>
    <row r="990" spans="1:28" ht="14.25" customHeight="1" x14ac:dyDescent="0.2">
      <c r="A990" s="270"/>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c r="AA990" s="270"/>
      <c r="AB990" s="270"/>
    </row>
    <row r="991" spans="1:28" ht="14.25" customHeight="1" x14ac:dyDescent="0.2">
      <c r="A991" s="270"/>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c r="X991" s="270"/>
      <c r="Y991" s="270"/>
      <c r="Z991" s="270"/>
      <c r="AA991" s="270"/>
      <c r="AB991" s="270"/>
    </row>
    <row r="992" spans="1:28" ht="14.25" customHeight="1" x14ac:dyDescent="0.2">
      <c r="A992" s="270"/>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c r="X992" s="270"/>
      <c r="Y992" s="270"/>
      <c r="Z992" s="270"/>
      <c r="AA992" s="270"/>
      <c r="AB992" s="270"/>
    </row>
    <row r="993" spans="1:28" ht="14.25" customHeight="1" x14ac:dyDescent="0.2">
      <c r="A993" s="270"/>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c r="X993" s="270"/>
      <c r="Y993" s="270"/>
      <c r="Z993" s="270"/>
      <c r="AA993" s="270"/>
      <c r="AB993" s="270"/>
    </row>
    <row r="994" spans="1:28" ht="14.25" customHeight="1" x14ac:dyDescent="0.2">
      <c r="A994" s="270"/>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row>
    <row r="995" spans="1:28" ht="14.25" customHeight="1" x14ac:dyDescent="0.2">
      <c r="A995" s="270"/>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row>
    <row r="996" spans="1:28" ht="14.25" customHeight="1" x14ac:dyDescent="0.2">
      <c r="A996" s="270"/>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row>
    <row r="997" spans="1:28" ht="14.25" customHeight="1" x14ac:dyDescent="0.2">
      <c r="A997" s="270"/>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row>
    <row r="998" spans="1:28" ht="14.25" customHeight="1" x14ac:dyDescent="0.2">
      <c r="A998" s="270"/>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row>
    <row r="999" spans="1:28" ht="14.25" customHeight="1" x14ac:dyDescent="0.2">
      <c r="A999" s="270"/>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row>
    <row r="1000" spans="1:28" ht="14.25" customHeight="1" x14ac:dyDescent="0.2">
      <c r="A1000" s="270"/>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row>
  </sheetData>
  <mergeCells count="13">
    <mergeCell ref="B69:B76"/>
    <mergeCell ref="A1:A2"/>
    <mergeCell ref="B1:B2"/>
    <mergeCell ref="C1:H1"/>
    <mergeCell ref="I1:M1"/>
    <mergeCell ref="A3:A11"/>
    <mergeCell ref="A12:A18"/>
    <mergeCell ref="A19:A26"/>
    <mergeCell ref="A27:A33"/>
    <mergeCell ref="A34:A37"/>
    <mergeCell ref="A38:A43"/>
    <mergeCell ref="A44:A51"/>
    <mergeCell ref="A52:A58"/>
  </mergeCells>
  <conditionalFormatting sqref="A1:C1 I1:M1 A2 H2 L2:M2 N2:AB25 A3:M3 C3:C10 B3:B11 D3:M11 B4:M11 A12 N27:AB46 O47:AB50 B52:M58 O52:AB58 A59:AB59 N61:AB68 B69:N69 N69:N74 C70:N76">
    <cfRule type="cellIs" dxfId="44" priority="1" operator="lessThan">
      <formula>0</formula>
    </cfRule>
  </conditionalFormatting>
  <conditionalFormatting sqref="B16:B17">
    <cfRule type="cellIs" dxfId="43" priority="2" operator="lessThan">
      <formula>0</formula>
    </cfRule>
  </conditionalFormatting>
  <conditionalFormatting sqref="B24:B25">
    <cfRule type="cellIs" dxfId="42" priority="3" operator="lessThan">
      <formula>0</formula>
    </cfRule>
  </conditionalFormatting>
  <conditionalFormatting sqref="B42:C43 D43:L43">
    <cfRule type="cellIs" dxfId="41" priority="4" operator="lessThan">
      <formula>0</formula>
    </cfRule>
  </conditionalFormatting>
  <conditionalFormatting sqref="B68:M68">
    <cfRule type="cellIs" dxfId="40" priority="5" operator="lessThan">
      <formula>0</formula>
    </cfRule>
  </conditionalFormatting>
  <conditionalFormatting sqref="D69:D75 C69:C76 E69:AB76">
    <cfRule type="cellIs" dxfId="39" priority="6" operator="lessThan">
      <formula>0</formula>
    </cfRule>
  </conditionalFormatting>
  <conditionalFormatting sqref="D32:J32">
    <cfRule type="cellIs" dxfId="38" priority="7" operator="lessThan">
      <formula>0</formula>
    </cfRule>
  </conditionalFormatting>
  <conditionalFormatting sqref="D42:J42">
    <cfRule type="cellIs" dxfId="37" priority="8" operator="lessThan">
      <formula>0</formula>
    </cfRule>
  </conditionalFormatting>
  <conditionalFormatting sqref="H24:H26">
    <cfRule type="cellIs" dxfId="36" priority="9" operator="greaterThan">
      <formula>0</formula>
    </cfRule>
  </conditionalFormatting>
  <conditionalFormatting sqref="K21:K23 J24:K33 B27:K31 L27:L32">
    <cfRule type="cellIs" dxfId="35" priority="10" operator="lessThan">
      <formula>0</formula>
    </cfRule>
  </conditionalFormatting>
  <conditionalFormatting sqref="N1:R7 B12:L26 M12:M51 N26 P26:AB26 A34 B34:L37 B38:I41 L38:L42 J38:K43 C44:L50 B44:B51">
    <cfRule type="cellIs" dxfId="34" priority="11" operator="lessThan">
      <formula>0</formula>
    </cfRule>
  </conditionalFormatting>
  <conditionalFormatting sqref="S1:AB1 A19 J26:L26 B32:C33 D33:L33 B51:L51 A70:A76">
    <cfRule type="cellIs" dxfId="33" priority="12" operator="lessThan">
      <formula>0</formula>
    </cfRule>
  </conditionalFormatting>
  <pageMargins left="0.7" right="0.7" top="0.78740157499999996" bottom="0.78740157499999996"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DECEE"/>
  </sheetPr>
  <dimension ref="A1:Z991"/>
  <sheetViews>
    <sheetView zoomScale="56" workbookViewId="0">
      <pane xSplit="1" ySplit="2" topLeftCell="C3" activePane="bottomRight" state="frozen"/>
      <selection pane="topRight" activeCell="B1" sqref="B1"/>
      <selection pane="bottomLeft" activeCell="A3" sqref="A3"/>
      <selection pane="bottomRight" activeCell="B3" sqref="B3"/>
    </sheetView>
  </sheetViews>
  <sheetFormatPr baseColWidth="10" defaultColWidth="14.5" defaultRowHeight="15" customHeight="1" x14ac:dyDescent="0.2"/>
  <cols>
    <col min="1" max="1" width="48.5" customWidth="1"/>
    <col min="2" max="2" width="46.6640625" customWidth="1"/>
    <col min="3" max="3" width="25.83203125" customWidth="1"/>
    <col min="4" max="4" width="21.1640625" customWidth="1"/>
    <col min="5" max="13" width="25.83203125" customWidth="1"/>
    <col min="14" max="14" width="20.5" customWidth="1"/>
    <col min="15" max="26" width="11.5" customWidth="1"/>
  </cols>
  <sheetData>
    <row r="1" spans="1:26" ht="26.25" customHeight="1" x14ac:dyDescent="0.3">
      <c r="A1" s="606" t="s">
        <v>459</v>
      </c>
      <c r="B1" s="608" t="s">
        <v>460</v>
      </c>
      <c r="C1" s="609" t="s">
        <v>379</v>
      </c>
      <c r="D1" s="610"/>
      <c r="E1" s="610"/>
      <c r="F1" s="610"/>
      <c r="G1" s="610"/>
      <c r="H1" s="611"/>
      <c r="I1" s="612" t="s">
        <v>503</v>
      </c>
      <c r="J1" s="610"/>
      <c r="K1" s="610"/>
      <c r="L1" s="610"/>
      <c r="M1" s="611"/>
      <c r="N1" s="28"/>
      <c r="O1" s="28"/>
      <c r="P1" s="28"/>
      <c r="Q1" s="28"/>
      <c r="R1" s="28"/>
      <c r="S1" s="28"/>
      <c r="T1" s="28"/>
      <c r="U1" s="28"/>
      <c r="V1" s="28"/>
      <c r="W1" s="28"/>
      <c r="X1" s="28"/>
      <c r="Y1" s="28"/>
      <c r="Z1" s="28"/>
    </row>
    <row r="2" spans="1:26" ht="26.25" customHeight="1" x14ac:dyDescent="0.3">
      <c r="A2" s="607"/>
      <c r="B2" s="623"/>
      <c r="C2" s="129" t="s">
        <v>381</v>
      </c>
      <c r="D2" s="130" t="s">
        <v>504</v>
      </c>
      <c r="E2" s="131" t="s">
        <v>505</v>
      </c>
      <c r="F2" s="132" t="s">
        <v>384</v>
      </c>
      <c r="G2" s="133" t="s">
        <v>456</v>
      </c>
      <c r="H2" s="134" t="s">
        <v>386</v>
      </c>
      <c r="I2" s="135" t="s">
        <v>381</v>
      </c>
      <c r="J2" s="136" t="s">
        <v>384</v>
      </c>
      <c r="K2" s="137" t="s">
        <v>456</v>
      </c>
      <c r="L2" s="138" t="s">
        <v>386</v>
      </c>
      <c r="M2" s="139" t="s">
        <v>457</v>
      </c>
      <c r="N2" s="28"/>
      <c r="O2" s="28"/>
      <c r="P2" s="28"/>
      <c r="Q2" s="28"/>
      <c r="R2" s="28"/>
      <c r="S2" s="28"/>
      <c r="T2" s="28"/>
      <c r="U2" s="28"/>
      <c r="V2" s="28"/>
      <c r="W2" s="28"/>
      <c r="X2" s="28"/>
      <c r="Y2" s="28"/>
      <c r="Z2" s="28"/>
    </row>
    <row r="3" spans="1:26" ht="26.25" customHeight="1" x14ac:dyDescent="0.3">
      <c r="A3" s="672" t="s">
        <v>613</v>
      </c>
      <c r="B3" s="390" t="s">
        <v>507</v>
      </c>
      <c r="C3" s="391">
        <v>0</v>
      </c>
      <c r="D3" s="143">
        <v>0</v>
      </c>
      <c r="E3" s="194">
        <v>0</v>
      </c>
      <c r="F3" s="194">
        <v>0</v>
      </c>
      <c r="G3" s="391">
        <v>0</v>
      </c>
      <c r="H3" s="392">
        <f t="shared" ref="H3:H7" si="0">F3+G3-C3</f>
        <v>0</v>
      </c>
      <c r="I3" s="393">
        <f>SUMIFS('Cashbook ING'!$B:$B, 'Cashbook ING'!$A:$A, "BD_")</f>
        <v>0</v>
      </c>
      <c r="J3" s="393">
        <f>SUMIFS('Cashbook Wix'!$B$2:$B$7106,'Cashbook Wix'!$A$2:$A$7106,"BD_")</f>
        <v>0</v>
      </c>
      <c r="K3" s="393">
        <v>0</v>
      </c>
      <c r="L3" s="390">
        <f t="shared" ref="L3:L7" si="1">J3+K3+I3</f>
        <v>0</v>
      </c>
      <c r="M3" s="390">
        <f t="shared" ref="M3:M7" si="2">L3-H3</f>
        <v>0</v>
      </c>
      <c r="N3" s="28"/>
      <c r="O3" s="28"/>
      <c r="P3" s="28"/>
      <c r="Q3" s="28"/>
      <c r="R3" s="28"/>
      <c r="S3" s="28"/>
      <c r="T3" s="28"/>
      <c r="U3" s="28"/>
      <c r="V3" s="28"/>
      <c r="W3" s="28"/>
      <c r="X3" s="28"/>
      <c r="Y3" s="28"/>
      <c r="Z3" s="28"/>
    </row>
    <row r="4" spans="1:26" ht="26.25" customHeight="1" x14ac:dyDescent="0.3">
      <c r="A4" s="673"/>
      <c r="B4" s="394" t="s">
        <v>560</v>
      </c>
      <c r="C4" s="395">
        <v>450</v>
      </c>
      <c r="D4" s="143">
        <v>0</v>
      </c>
      <c r="E4" s="194">
        <v>0</v>
      </c>
      <c r="F4" s="194">
        <v>0</v>
      </c>
      <c r="G4" s="391">
        <v>250</v>
      </c>
      <c r="H4" s="392">
        <f t="shared" si="0"/>
        <v>-200</v>
      </c>
      <c r="I4" s="391">
        <f>SUMIFS('Cashbook ING'!$B:$B, 'Cashbook ING'!$A:$A, "BD_")</f>
        <v>0</v>
      </c>
      <c r="J4" s="391">
        <f>SUMIFS('Cashbook Wix'!$B$2:$B$7106,'Cashbook Wix'!$A$2:$A$7106,"BD_")</f>
        <v>0</v>
      </c>
      <c r="K4" s="391">
        <v>0</v>
      </c>
      <c r="L4" s="392">
        <f t="shared" si="1"/>
        <v>0</v>
      </c>
      <c r="M4" s="392">
        <f t="shared" si="2"/>
        <v>200</v>
      </c>
      <c r="N4" s="28"/>
      <c r="O4" s="28"/>
      <c r="P4" s="28"/>
      <c r="Q4" s="28"/>
      <c r="R4" s="28"/>
      <c r="S4" s="28"/>
      <c r="T4" s="28"/>
      <c r="U4" s="28"/>
      <c r="V4" s="28"/>
      <c r="W4" s="28"/>
      <c r="X4" s="28"/>
      <c r="Y4" s="28"/>
      <c r="Z4" s="28"/>
    </row>
    <row r="5" spans="1:26" ht="26.25" customHeight="1" x14ac:dyDescent="0.3">
      <c r="A5" s="673"/>
      <c r="B5" s="394" t="s">
        <v>550</v>
      </c>
      <c r="C5" s="395">
        <v>50</v>
      </c>
      <c r="D5" s="143">
        <v>0</v>
      </c>
      <c r="E5" s="194">
        <v>0</v>
      </c>
      <c r="F5" s="194">
        <v>0</v>
      </c>
      <c r="G5" s="391">
        <v>0</v>
      </c>
      <c r="H5" s="392">
        <f t="shared" si="0"/>
        <v>-50</v>
      </c>
      <c r="I5" s="391">
        <f>SUMIFS('Cashbook ING'!$B:$B, 'Cashbook ING'!$A:$A, "BD_")</f>
        <v>0</v>
      </c>
      <c r="J5" s="391">
        <f>SUMIFS('Cashbook Wix'!$B$2:$B$7106,'Cashbook Wix'!$A$2:$A$7106,"BD_")</f>
        <v>0</v>
      </c>
      <c r="K5" s="391">
        <v>0</v>
      </c>
      <c r="L5" s="392">
        <f t="shared" si="1"/>
        <v>0</v>
      </c>
      <c r="M5" s="392">
        <f t="shared" si="2"/>
        <v>50</v>
      </c>
      <c r="N5" s="28"/>
      <c r="O5" s="28"/>
      <c r="P5" s="28"/>
      <c r="Q5" s="28"/>
      <c r="R5" s="28"/>
      <c r="S5" s="28"/>
      <c r="T5" s="28"/>
      <c r="U5" s="28"/>
      <c r="V5" s="28"/>
      <c r="W5" s="28"/>
      <c r="X5" s="28"/>
      <c r="Y5" s="28"/>
      <c r="Z5" s="28"/>
    </row>
    <row r="6" spans="1:26" ht="26.25" customHeight="1" x14ac:dyDescent="0.3">
      <c r="A6" s="673"/>
      <c r="B6" s="145" t="s">
        <v>509</v>
      </c>
      <c r="C6" s="391">
        <v>0</v>
      </c>
      <c r="D6" s="143">
        <v>100</v>
      </c>
      <c r="E6" s="194">
        <v>3</v>
      </c>
      <c r="F6" s="194">
        <f t="shared" ref="F6:F7" si="3">D6*E6</f>
        <v>300</v>
      </c>
      <c r="G6" s="391">
        <v>0</v>
      </c>
      <c r="H6" s="392">
        <f t="shared" si="0"/>
        <v>300</v>
      </c>
      <c r="I6" s="391">
        <v>0</v>
      </c>
      <c r="J6" s="391">
        <f>SUMIFS('Cashbook Wix'!$B$2:$B$7106,'Cashbook Wix'!$A$2:$A$7106,"BD_")</f>
        <v>0</v>
      </c>
      <c r="K6" s="391">
        <v>0</v>
      </c>
      <c r="L6" s="392">
        <f t="shared" si="1"/>
        <v>0</v>
      </c>
      <c r="M6" s="392">
        <f t="shared" si="2"/>
        <v>-300</v>
      </c>
      <c r="N6" s="28"/>
      <c r="O6" s="28"/>
      <c r="P6" s="28"/>
      <c r="Q6" s="28"/>
      <c r="R6" s="28"/>
      <c r="S6" s="28"/>
      <c r="T6" s="28"/>
      <c r="U6" s="28"/>
      <c r="V6" s="28"/>
      <c r="W6" s="28"/>
      <c r="X6" s="28"/>
      <c r="Y6" s="28"/>
      <c r="Z6" s="28"/>
    </row>
    <row r="7" spans="1:26" ht="26.25" customHeight="1" x14ac:dyDescent="0.3">
      <c r="A7" s="673"/>
      <c r="B7" s="145" t="s">
        <v>510</v>
      </c>
      <c r="C7" s="391">
        <v>0</v>
      </c>
      <c r="D7" s="143">
        <v>20</v>
      </c>
      <c r="E7" s="194">
        <v>5</v>
      </c>
      <c r="F7" s="194">
        <f t="shared" si="3"/>
        <v>100</v>
      </c>
      <c r="G7" s="391">
        <v>0</v>
      </c>
      <c r="H7" s="392">
        <f t="shared" si="0"/>
        <v>100</v>
      </c>
      <c r="I7" s="391">
        <v>0</v>
      </c>
      <c r="J7" s="391">
        <f>SUMIFS('Cashbook Wix'!$B$2:$B$7106,'Cashbook Wix'!$A$2:$A$7106,"BD_")</f>
        <v>0</v>
      </c>
      <c r="K7" s="391">
        <v>0</v>
      </c>
      <c r="L7" s="392">
        <f t="shared" si="1"/>
        <v>0</v>
      </c>
      <c r="M7" s="392">
        <f t="shared" si="2"/>
        <v>-100</v>
      </c>
      <c r="N7" s="28"/>
      <c r="O7" s="28"/>
      <c r="P7" s="28"/>
      <c r="Q7" s="28"/>
      <c r="R7" s="28"/>
      <c r="S7" s="28"/>
      <c r="T7" s="28"/>
      <c r="U7" s="28"/>
      <c r="V7" s="28"/>
      <c r="W7" s="28"/>
      <c r="X7" s="28"/>
      <c r="Y7" s="28"/>
      <c r="Z7" s="28"/>
    </row>
    <row r="8" spans="1:26" ht="26.25" customHeight="1" x14ac:dyDescent="0.3">
      <c r="A8" s="674"/>
      <c r="B8" s="396" t="s">
        <v>511</v>
      </c>
      <c r="C8" s="397">
        <f t="shared" ref="C8:D8" si="4">SUM(C3:C7)</f>
        <v>500</v>
      </c>
      <c r="D8" s="398">
        <f t="shared" si="4"/>
        <v>120</v>
      </c>
      <c r="E8" s="399">
        <v>0</v>
      </c>
      <c r="F8" s="400">
        <f t="shared" ref="F8:M8" si="5">SUM(F3:F7)</f>
        <v>400</v>
      </c>
      <c r="G8" s="399">
        <f t="shared" si="5"/>
        <v>250</v>
      </c>
      <c r="H8" s="401">
        <f t="shared" si="5"/>
        <v>150</v>
      </c>
      <c r="I8" s="402">
        <f t="shared" si="5"/>
        <v>0</v>
      </c>
      <c r="J8" s="400">
        <f t="shared" si="5"/>
        <v>0</v>
      </c>
      <c r="K8" s="400">
        <f t="shared" si="5"/>
        <v>0</v>
      </c>
      <c r="L8" s="403">
        <f t="shared" si="5"/>
        <v>0</v>
      </c>
      <c r="M8" s="404">
        <f t="shared" si="5"/>
        <v>-150</v>
      </c>
      <c r="N8" s="280"/>
      <c r="O8" s="176"/>
      <c r="P8" s="176"/>
      <c r="Q8" s="176"/>
      <c r="R8" s="176"/>
      <c r="S8" s="176"/>
      <c r="T8" s="176"/>
      <c r="U8" s="176"/>
      <c r="V8" s="176"/>
      <c r="W8" s="176"/>
      <c r="X8" s="176"/>
      <c r="Y8" s="176"/>
      <c r="Z8" s="176"/>
    </row>
    <row r="9" spans="1:26" ht="26.25" customHeight="1" x14ac:dyDescent="0.3">
      <c r="A9" s="675" t="s">
        <v>614</v>
      </c>
      <c r="B9" s="390" t="s">
        <v>615</v>
      </c>
      <c r="C9" s="405">
        <v>400</v>
      </c>
      <c r="D9" s="247">
        <v>0</v>
      </c>
      <c r="E9" s="405">
        <v>0</v>
      </c>
      <c r="F9" s="405">
        <f>D9*E9</f>
        <v>0</v>
      </c>
      <c r="G9" s="405">
        <v>0</v>
      </c>
      <c r="H9" s="406">
        <f t="shared" ref="H9:H12" si="6">F9+G9-C9</f>
        <v>-400</v>
      </c>
      <c r="I9" s="405">
        <f>SUMIFS('Cashbook ING'!$B:$B, 'Cashbook ING'!$A:$A, "BD_")</f>
        <v>0</v>
      </c>
      <c r="J9" s="405">
        <f>SUMIFS('Cashbook Wix'!$B$2:$B$7106,'Cashbook Wix'!$A$2:$A$7106,"BD_")</f>
        <v>0</v>
      </c>
      <c r="K9" s="405">
        <v>0</v>
      </c>
      <c r="L9" s="406">
        <f t="shared" ref="L9:L12" si="7">K9+J9+I9</f>
        <v>0</v>
      </c>
      <c r="M9" s="406">
        <f t="shared" ref="M9:M12" si="8">L9-H9</f>
        <v>400</v>
      </c>
      <c r="N9" s="280"/>
      <c r="O9" s="176"/>
      <c r="P9" s="176"/>
      <c r="Q9" s="176"/>
      <c r="R9" s="176"/>
      <c r="S9" s="176"/>
      <c r="T9" s="176"/>
      <c r="U9" s="176"/>
      <c r="V9" s="176"/>
      <c r="W9" s="176"/>
      <c r="X9" s="176"/>
      <c r="Y9" s="176"/>
      <c r="Z9" s="176"/>
    </row>
    <row r="10" spans="1:26" ht="25.5" customHeight="1" x14ac:dyDescent="0.3">
      <c r="A10" s="673"/>
      <c r="B10" s="392" t="s">
        <v>616</v>
      </c>
      <c r="C10" s="391">
        <v>20</v>
      </c>
      <c r="D10" s="143">
        <v>0</v>
      </c>
      <c r="E10" s="391">
        <v>0</v>
      </c>
      <c r="F10" s="391">
        <v>0</v>
      </c>
      <c r="G10" s="391">
        <v>0</v>
      </c>
      <c r="H10" s="392">
        <f t="shared" si="6"/>
        <v>-20</v>
      </c>
      <c r="I10" s="391">
        <f>SUMIFS('Cashbook ING'!$B:$B, 'Cashbook ING'!$A:$A, "BD_")</f>
        <v>0</v>
      </c>
      <c r="J10" s="391">
        <f>SUMIFS('Cashbook Wix'!$B$2:$B$7106,'Cashbook Wix'!$A$2:$A$7106,"BD_")</f>
        <v>0</v>
      </c>
      <c r="K10" s="391">
        <v>0</v>
      </c>
      <c r="L10" s="392">
        <f t="shared" si="7"/>
        <v>0</v>
      </c>
      <c r="M10" s="392">
        <f t="shared" si="8"/>
        <v>20</v>
      </c>
      <c r="N10" s="280"/>
      <c r="O10" s="176"/>
      <c r="P10" s="176"/>
      <c r="Q10" s="176"/>
      <c r="R10" s="176"/>
      <c r="S10" s="176"/>
      <c r="T10" s="176"/>
      <c r="U10" s="176"/>
      <c r="V10" s="176"/>
      <c r="W10" s="176"/>
      <c r="X10" s="176"/>
      <c r="Y10" s="176"/>
      <c r="Z10" s="176"/>
    </row>
    <row r="11" spans="1:26" ht="26.25" customHeight="1" x14ac:dyDescent="0.3">
      <c r="A11" s="673"/>
      <c r="B11" s="392" t="s">
        <v>509</v>
      </c>
      <c r="C11" s="391">
        <v>0</v>
      </c>
      <c r="D11" s="143">
        <v>90</v>
      </c>
      <c r="E11" s="391">
        <v>3</v>
      </c>
      <c r="F11" s="391">
        <f t="shared" ref="F11:F12" si="9">D11*E11</f>
        <v>270</v>
      </c>
      <c r="G11" s="391">
        <v>0</v>
      </c>
      <c r="H11" s="392">
        <f t="shared" si="6"/>
        <v>270</v>
      </c>
      <c r="I11" s="391">
        <f>SUMIFS('Cashbook ING'!$B:$B, 'Cashbook ING'!$A:$A, "BD_")</f>
        <v>0</v>
      </c>
      <c r="J11" s="391">
        <f>SUMIFS('Cashbook Wix'!$B$2:$B$7106,'Cashbook Wix'!$A$2:$A$7106,"BD_")</f>
        <v>0</v>
      </c>
      <c r="K11" s="391">
        <v>0</v>
      </c>
      <c r="L11" s="392">
        <f t="shared" si="7"/>
        <v>0</v>
      </c>
      <c r="M11" s="392">
        <f t="shared" si="8"/>
        <v>-270</v>
      </c>
      <c r="N11" s="280"/>
      <c r="O11" s="176"/>
      <c r="P11" s="176"/>
      <c r="Q11" s="176"/>
      <c r="R11" s="176"/>
      <c r="S11" s="176"/>
      <c r="T11" s="176"/>
      <c r="U11" s="176"/>
      <c r="V11" s="176"/>
      <c r="W11" s="176"/>
      <c r="X11" s="176"/>
      <c r="Y11" s="176"/>
      <c r="Z11" s="176"/>
    </row>
    <row r="12" spans="1:26" ht="26.25" customHeight="1" x14ac:dyDescent="0.3">
      <c r="A12" s="673"/>
      <c r="B12" s="392" t="s">
        <v>510</v>
      </c>
      <c r="C12" s="391">
        <v>0</v>
      </c>
      <c r="D12" s="143">
        <v>15</v>
      </c>
      <c r="E12" s="391">
        <v>5</v>
      </c>
      <c r="F12" s="391">
        <f t="shared" si="9"/>
        <v>75</v>
      </c>
      <c r="G12" s="391">
        <v>0</v>
      </c>
      <c r="H12" s="392">
        <f t="shared" si="6"/>
        <v>75</v>
      </c>
      <c r="I12" s="391">
        <f>SUMIFS('Cashbook ING'!$B:$B, 'Cashbook ING'!$A:$A, "BD_")</f>
        <v>0</v>
      </c>
      <c r="J12" s="391">
        <f>SUMIFS('Cashbook Wix'!$B$2:$B$7106,'Cashbook Wix'!$A$2:$A$7106,"BD_")</f>
        <v>0</v>
      </c>
      <c r="K12" s="391">
        <v>0</v>
      </c>
      <c r="L12" s="392">
        <f t="shared" si="7"/>
        <v>0</v>
      </c>
      <c r="M12" s="392">
        <f t="shared" si="8"/>
        <v>-75</v>
      </c>
      <c r="N12" s="280"/>
      <c r="O12" s="176"/>
      <c r="P12" s="176"/>
      <c r="Q12" s="176"/>
      <c r="R12" s="176"/>
      <c r="S12" s="176"/>
      <c r="T12" s="176"/>
      <c r="U12" s="176"/>
      <c r="V12" s="176"/>
      <c r="W12" s="176"/>
      <c r="X12" s="176"/>
      <c r="Y12" s="176"/>
      <c r="Z12" s="176"/>
    </row>
    <row r="13" spans="1:26" ht="26.25" customHeight="1" x14ac:dyDescent="0.3">
      <c r="A13" s="674"/>
      <c r="B13" s="407" t="s">
        <v>511</v>
      </c>
      <c r="C13" s="408">
        <f t="shared" ref="C13:D13" si="10">SUM(C9:C12)</f>
        <v>420</v>
      </c>
      <c r="D13" s="409">
        <f t="shared" si="10"/>
        <v>105</v>
      </c>
      <c r="E13" s="410">
        <v>0</v>
      </c>
      <c r="F13" s="250">
        <f t="shared" ref="F13:M13" si="11">SUM(F9:F12)</f>
        <v>345</v>
      </c>
      <c r="G13" s="410">
        <f t="shared" si="11"/>
        <v>0</v>
      </c>
      <c r="H13" s="407">
        <f t="shared" si="11"/>
        <v>-75</v>
      </c>
      <c r="I13" s="408">
        <f t="shared" si="11"/>
        <v>0</v>
      </c>
      <c r="J13" s="250">
        <f t="shared" si="11"/>
        <v>0</v>
      </c>
      <c r="K13" s="250">
        <f t="shared" si="11"/>
        <v>0</v>
      </c>
      <c r="L13" s="407">
        <f t="shared" si="11"/>
        <v>0</v>
      </c>
      <c r="M13" s="411">
        <f t="shared" si="11"/>
        <v>75</v>
      </c>
      <c r="N13" s="280"/>
      <c r="O13" s="176"/>
      <c r="P13" s="176"/>
      <c r="Q13" s="176"/>
      <c r="R13" s="176"/>
      <c r="S13" s="176"/>
      <c r="T13" s="176"/>
      <c r="U13" s="176"/>
      <c r="V13" s="176"/>
      <c r="W13" s="176"/>
      <c r="X13" s="176"/>
      <c r="Y13" s="176"/>
      <c r="Z13" s="176"/>
    </row>
    <row r="14" spans="1:26" ht="26.25" customHeight="1" x14ac:dyDescent="0.3">
      <c r="A14" s="672" t="s">
        <v>617</v>
      </c>
      <c r="B14" s="238" t="s">
        <v>507</v>
      </c>
      <c r="C14" s="239">
        <v>0</v>
      </c>
      <c r="D14" s="240">
        <v>0</v>
      </c>
      <c r="E14" s="239">
        <v>0</v>
      </c>
      <c r="F14" s="239">
        <v>0</v>
      </c>
      <c r="G14" s="239">
        <v>0</v>
      </c>
      <c r="H14" s="238">
        <f t="shared" ref="H14:H17" si="12">G14+F14-C14</f>
        <v>0</v>
      </c>
      <c r="I14" s="241">
        <f>SUMIFS('Cashbook ING'!$B:$B, 'Cashbook ING'!$A:$A, "BD_")</f>
        <v>0</v>
      </c>
      <c r="J14" s="241">
        <v>0</v>
      </c>
      <c r="K14" s="241">
        <v>0</v>
      </c>
      <c r="L14" s="243">
        <f t="shared" ref="L14:L17" si="13">K14+J14+I14</f>
        <v>0</v>
      </c>
      <c r="M14" s="243">
        <f t="shared" ref="M14:M17" si="14">L14-H14</f>
        <v>0</v>
      </c>
      <c r="N14" s="194"/>
      <c r="O14" s="194"/>
      <c r="P14" s="194"/>
      <c r="Q14" s="176"/>
      <c r="R14" s="176"/>
      <c r="S14" s="176"/>
      <c r="T14" s="176"/>
      <c r="U14" s="176"/>
      <c r="V14" s="176"/>
      <c r="W14" s="176"/>
      <c r="X14" s="176"/>
      <c r="Y14" s="176"/>
      <c r="Z14" s="176"/>
    </row>
    <row r="15" spans="1:26" ht="26.25" customHeight="1" x14ac:dyDescent="0.3">
      <c r="A15" s="673"/>
      <c r="B15" s="245" t="s">
        <v>529</v>
      </c>
      <c r="C15" s="193">
        <v>80</v>
      </c>
      <c r="D15" s="160">
        <v>0</v>
      </c>
      <c r="E15" s="193">
        <v>0</v>
      </c>
      <c r="F15" s="193">
        <v>0</v>
      </c>
      <c r="G15" s="193">
        <v>50</v>
      </c>
      <c r="H15" s="245">
        <f t="shared" si="12"/>
        <v>-30</v>
      </c>
      <c r="I15" s="194">
        <f>SUMIFS('Cashbook ING'!$B:$B, 'Cashbook ING'!$A:$A, "BD_")</f>
        <v>0</v>
      </c>
      <c r="J15" s="194">
        <f>SUMIFS('Cashbook Wix'!$B$2:$B$7106,'Cashbook Wix'!$A$2:$A$7106,"BD_")</f>
        <v>0</v>
      </c>
      <c r="K15" s="194">
        <v>0</v>
      </c>
      <c r="L15" s="145">
        <f t="shared" si="13"/>
        <v>0</v>
      </c>
      <c r="M15" s="145">
        <f t="shared" si="14"/>
        <v>30</v>
      </c>
      <c r="N15" s="194"/>
      <c r="O15" s="194"/>
      <c r="P15" s="194"/>
      <c r="Q15" s="176"/>
      <c r="R15" s="176"/>
      <c r="S15" s="176"/>
      <c r="T15" s="176"/>
      <c r="U15" s="176"/>
      <c r="V15" s="176"/>
      <c r="W15" s="176"/>
      <c r="X15" s="176"/>
      <c r="Y15" s="176"/>
      <c r="Z15" s="176"/>
    </row>
    <row r="16" spans="1:26" ht="26.25" customHeight="1" x14ac:dyDescent="0.3">
      <c r="A16" s="673"/>
      <c r="B16" s="245" t="s">
        <v>509</v>
      </c>
      <c r="C16" s="193">
        <v>0</v>
      </c>
      <c r="D16" s="160">
        <v>45</v>
      </c>
      <c r="E16" s="193">
        <v>1.5</v>
      </c>
      <c r="F16" s="193">
        <f t="shared" ref="F16:F17" si="15">D16*E16</f>
        <v>67.5</v>
      </c>
      <c r="G16" s="193">
        <v>0</v>
      </c>
      <c r="H16" s="245">
        <f t="shared" si="12"/>
        <v>67.5</v>
      </c>
      <c r="I16" s="194">
        <f>SUMIFS('Cashbook ING'!$B:$B, 'Cashbook ING'!$A:$A, "BD_")</f>
        <v>0</v>
      </c>
      <c r="J16" s="194">
        <f>SUMIFS('Cashbook Wix'!$B$2:$B$7106,'Cashbook Wix'!$A$2:$A$7106,"BD_")</f>
        <v>0</v>
      </c>
      <c r="K16" s="194">
        <v>0</v>
      </c>
      <c r="L16" s="145">
        <f t="shared" si="13"/>
        <v>0</v>
      </c>
      <c r="M16" s="145">
        <f t="shared" si="14"/>
        <v>-67.5</v>
      </c>
      <c r="N16" s="194"/>
      <c r="O16" s="194"/>
      <c r="P16" s="194"/>
      <c r="Q16" s="176"/>
      <c r="R16" s="176"/>
      <c r="S16" s="176"/>
      <c r="T16" s="176"/>
      <c r="U16" s="176"/>
      <c r="V16" s="176"/>
      <c r="W16" s="176"/>
      <c r="X16" s="176"/>
      <c r="Y16" s="176"/>
      <c r="Z16" s="176"/>
    </row>
    <row r="17" spans="1:26" ht="26.25" customHeight="1" x14ac:dyDescent="0.3">
      <c r="A17" s="673"/>
      <c r="B17" s="245" t="s">
        <v>510</v>
      </c>
      <c r="C17" s="193">
        <v>0</v>
      </c>
      <c r="D17" s="160">
        <v>5</v>
      </c>
      <c r="E17" s="193">
        <v>2.5</v>
      </c>
      <c r="F17" s="193">
        <f t="shared" si="15"/>
        <v>12.5</v>
      </c>
      <c r="G17" s="193">
        <v>0</v>
      </c>
      <c r="H17" s="245">
        <f t="shared" si="12"/>
        <v>12.5</v>
      </c>
      <c r="I17" s="194">
        <f>SUMIFS('Cashbook ING'!$B:$B, 'Cashbook ING'!$A:$A, "BD_")</f>
        <v>0</v>
      </c>
      <c r="J17" s="194">
        <f>SUMIFS('Cashbook Wix'!$B$2:$B$7106,'Cashbook Wix'!$A$2:$A$7106,"BD_")</f>
        <v>0</v>
      </c>
      <c r="K17" s="194">
        <v>0</v>
      </c>
      <c r="L17" s="145">
        <f t="shared" si="13"/>
        <v>0</v>
      </c>
      <c r="M17" s="145">
        <f t="shared" si="14"/>
        <v>-12.5</v>
      </c>
      <c r="N17" s="194"/>
      <c r="O17" s="194"/>
      <c r="P17" s="194"/>
      <c r="Q17" s="176"/>
      <c r="R17" s="176"/>
      <c r="S17" s="176"/>
      <c r="T17" s="176"/>
      <c r="U17" s="176"/>
      <c r="V17" s="176"/>
      <c r="W17" s="176"/>
      <c r="X17" s="176"/>
      <c r="Y17" s="176"/>
      <c r="Z17" s="176"/>
    </row>
    <row r="18" spans="1:26" ht="26.25" customHeight="1" x14ac:dyDescent="0.3">
      <c r="A18" s="674"/>
      <c r="B18" s="407" t="s">
        <v>618</v>
      </c>
      <c r="C18" s="408">
        <f>SUM(C14:C17)</f>
        <v>80</v>
      </c>
      <c r="D18" s="234">
        <f t="shared" ref="D18:E18" si="16">D14</f>
        <v>0</v>
      </c>
      <c r="E18" s="408">
        <f t="shared" si="16"/>
        <v>0</v>
      </c>
      <c r="F18" s="408">
        <f t="shared" ref="F18:I18" si="17">SUM(F14:F17)</f>
        <v>80</v>
      </c>
      <c r="G18" s="408">
        <f t="shared" si="17"/>
        <v>50</v>
      </c>
      <c r="H18" s="407">
        <f t="shared" si="17"/>
        <v>50</v>
      </c>
      <c r="I18" s="412">
        <f t="shared" si="17"/>
        <v>0</v>
      </c>
      <c r="J18" s="412">
        <f t="shared" ref="J18:K18" si="18">J14</f>
        <v>0</v>
      </c>
      <c r="K18" s="412">
        <f t="shared" si="18"/>
        <v>0</v>
      </c>
      <c r="L18" s="407">
        <f t="shared" ref="L18:M18" si="19">SUM(L14:L17)</f>
        <v>0</v>
      </c>
      <c r="M18" s="411">
        <f t="shared" si="19"/>
        <v>-50</v>
      </c>
      <c r="N18" s="280"/>
      <c r="O18" s="176"/>
      <c r="P18" s="176"/>
      <c r="Q18" s="176"/>
      <c r="R18" s="176"/>
      <c r="S18" s="176"/>
      <c r="T18" s="176"/>
      <c r="U18" s="176"/>
      <c r="V18" s="176"/>
      <c r="W18" s="176"/>
      <c r="X18" s="176"/>
      <c r="Y18" s="176"/>
      <c r="Z18" s="176"/>
    </row>
    <row r="19" spans="1:26" ht="26.25" customHeight="1" x14ac:dyDescent="0.35">
      <c r="A19" s="413"/>
      <c r="B19" s="414" t="s">
        <v>450</v>
      </c>
      <c r="C19" s="415">
        <f t="shared" ref="C19:H19" si="20">SUM(+C18+C8+C13)</f>
        <v>1000</v>
      </c>
      <c r="D19" s="415">
        <f t="shared" si="20"/>
        <v>225</v>
      </c>
      <c r="E19" s="415">
        <f t="shared" si="20"/>
        <v>0</v>
      </c>
      <c r="F19" s="415">
        <f t="shared" si="20"/>
        <v>825</v>
      </c>
      <c r="G19" s="415">
        <f t="shared" si="20"/>
        <v>300</v>
      </c>
      <c r="H19" s="415">
        <f t="shared" si="20"/>
        <v>125</v>
      </c>
      <c r="I19" s="217">
        <f t="shared" ref="I19:M19" si="21">SUM(I18+I8+I13)</f>
        <v>0</v>
      </c>
      <c r="J19" s="217">
        <f t="shared" si="21"/>
        <v>0</v>
      </c>
      <c r="K19" s="217">
        <f t="shared" si="21"/>
        <v>0</v>
      </c>
      <c r="L19" s="217">
        <f t="shared" si="21"/>
        <v>0</v>
      </c>
      <c r="M19" s="217">
        <f t="shared" si="21"/>
        <v>-125</v>
      </c>
      <c r="N19" s="165"/>
      <c r="O19" s="165"/>
      <c r="P19" s="165"/>
      <c r="Q19" s="165"/>
      <c r="R19" s="165"/>
      <c r="S19" s="165"/>
      <c r="T19" s="165"/>
      <c r="U19" s="165"/>
      <c r="V19" s="165"/>
      <c r="W19" s="165"/>
      <c r="X19" s="165"/>
      <c r="Y19" s="165"/>
      <c r="Z19" s="165"/>
    </row>
    <row r="20" spans="1:26" ht="26.25" customHeight="1" x14ac:dyDescent="0.3">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26.25" customHeight="1" x14ac:dyDescent="0.3">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26.25" customHeight="1" x14ac:dyDescent="0.3">
      <c r="A22" s="28"/>
      <c r="B22" s="416"/>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26.25" customHeight="1" x14ac:dyDescent="0.3">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26.25" customHeight="1" x14ac:dyDescent="0.3">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26.25" customHeight="1" x14ac:dyDescent="0.3">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26.25" customHeight="1" x14ac:dyDescent="0.3">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26.25" customHeight="1" x14ac:dyDescent="0.3">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26.25" customHeight="1" x14ac:dyDescent="0.3">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26.25" customHeight="1" x14ac:dyDescent="0.3">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26.25" customHeight="1" x14ac:dyDescent="0.3">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26.25" customHeight="1" x14ac:dyDescent="0.3">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26.25" customHeight="1" x14ac:dyDescent="0.3">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26.25" customHeight="1" x14ac:dyDescent="0.3">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26.25" customHeight="1" x14ac:dyDescent="0.3">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26.25" customHeight="1" x14ac:dyDescent="0.3">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26.25" customHeight="1" x14ac:dyDescent="0.3">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26.25" customHeight="1" x14ac:dyDescent="0.3">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26.25" customHeight="1" x14ac:dyDescent="0.3">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26.25" customHeight="1" x14ac:dyDescent="0.3">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26.25" customHeight="1" x14ac:dyDescent="0.3">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26.25" customHeight="1" x14ac:dyDescent="0.3">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26.25" customHeight="1" x14ac:dyDescent="0.3">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26.25" customHeight="1"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26.25" customHeight="1"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26.25" customHeight="1"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26.25" customHeight="1"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26.25" customHeight="1"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26.25" customHeight="1"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26.25" customHeight="1" x14ac:dyDescent="0.3">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26.25" customHeight="1" x14ac:dyDescent="0.3">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26.25" customHeight="1" x14ac:dyDescent="0.3">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26.25" customHeight="1" x14ac:dyDescent="0.3">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26.25" customHeight="1" x14ac:dyDescent="0.3">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26.25" customHeight="1" x14ac:dyDescent="0.3">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26.25" customHeight="1" x14ac:dyDescent="0.3">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26.25" customHeight="1" x14ac:dyDescent="0.3">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26.25" customHeight="1" x14ac:dyDescent="0.3">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26.25" customHeight="1" x14ac:dyDescent="0.3">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26.25" customHeight="1" x14ac:dyDescent="0.3">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26.25" customHeight="1" x14ac:dyDescent="0.3">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26.25" customHeight="1" x14ac:dyDescent="0.3">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26.25" customHeight="1" x14ac:dyDescent="0.3">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26.25" customHeight="1" x14ac:dyDescent="0.3">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26.25" customHeight="1" x14ac:dyDescent="0.3">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26.25" customHeight="1" x14ac:dyDescent="0.3">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26.25" customHeight="1" x14ac:dyDescent="0.3">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26.25" customHeight="1" x14ac:dyDescent="0.3">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26.25" customHeight="1" x14ac:dyDescent="0.3">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26.25" customHeight="1" x14ac:dyDescent="0.3">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26.25" customHeight="1" x14ac:dyDescent="0.3">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26.25" customHeight="1" x14ac:dyDescent="0.3">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26.25" customHeight="1" x14ac:dyDescent="0.3">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26.25" customHeight="1" x14ac:dyDescent="0.3">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26.25" customHeight="1" x14ac:dyDescent="0.3">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26.25" customHeight="1" x14ac:dyDescent="0.3">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26.25" customHeight="1" x14ac:dyDescent="0.3">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26.25" customHeight="1" x14ac:dyDescent="0.3">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26.25" customHeight="1" x14ac:dyDescent="0.3">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26.25" customHeight="1" x14ac:dyDescent="0.3">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26.25" customHeight="1" x14ac:dyDescent="0.3">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26.25" customHeight="1" x14ac:dyDescent="0.3">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26.25" customHeight="1" x14ac:dyDescent="0.3">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26.25" customHeight="1" x14ac:dyDescent="0.3">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26.25" customHeight="1" x14ac:dyDescent="0.3">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26.25" customHeight="1" x14ac:dyDescent="0.3">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26.25" customHeight="1" x14ac:dyDescent="0.3">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26.25" customHeight="1" x14ac:dyDescent="0.3">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26.25" customHeight="1" x14ac:dyDescent="0.3">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26.25" customHeight="1" x14ac:dyDescent="0.3">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26.25" customHeight="1" x14ac:dyDescent="0.3">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26.25" customHeight="1" x14ac:dyDescent="0.3">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26.25" customHeight="1" x14ac:dyDescent="0.3">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26.25" customHeight="1" x14ac:dyDescent="0.3">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26.25" customHeight="1" x14ac:dyDescent="0.3">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26.25" customHeight="1" x14ac:dyDescent="0.3">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26.25" customHeight="1" x14ac:dyDescent="0.3">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26.25" customHeight="1" x14ac:dyDescent="0.3">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26.25" customHeight="1" x14ac:dyDescent="0.3">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26.25" customHeight="1" x14ac:dyDescent="0.3">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26.25" customHeight="1" x14ac:dyDescent="0.3">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26.25" customHeight="1" x14ac:dyDescent="0.3">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26.25" customHeight="1" x14ac:dyDescent="0.3">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26.25" customHeight="1" x14ac:dyDescent="0.3">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26.25" customHeight="1" x14ac:dyDescent="0.3">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26.25" customHeight="1" x14ac:dyDescent="0.3">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26.25" customHeight="1" x14ac:dyDescent="0.3">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26.25" customHeight="1" x14ac:dyDescent="0.3">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26.25" customHeight="1" x14ac:dyDescent="0.3">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26.25" customHeight="1" x14ac:dyDescent="0.3">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26.25" customHeight="1" x14ac:dyDescent="0.3">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26.25" customHeight="1" x14ac:dyDescent="0.3">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26.25" customHeight="1" x14ac:dyDescent="0.3">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26.25" customHeight="1" x14ac:dyDescent="0.3">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26.25" customHeight="1" x14ac:dyDescent="0.3">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26.25" customHeight="1" x14ac:dyDescent="0.3">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26.25" customHeight="1" x14ac:dyDescent="0.3">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26.25" customHeight="1" x14ac:dyDescent="0.3">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26.25" customHeight="1" x14ac:dyDescent="0.3">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26.25" customHeight="1" x14ac:dyDescent="0.3">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26.25" customHeight="1" x14ac:dyDescent="0.3">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26.25" customHeight="1" x14ac:dyDescent="0.3">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26.25" customHeight="1" x14ac:dyDescent="0.3">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26.25" customHeight="1" x14ac:dyDescent="0.3">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26.25" customHeight="1" x14ac:dyDescent="0.3">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26.25" customHeight="1" x14ac:dyDescent="0.3">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26.25" customHeight="1" x14ac:dyDescent="0.3">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26.25" customHeight="1" x14ac:dyDescent="0.3">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26.25" customHeight="1" x14ac:dyDescent="0.3">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26.25" customHeight="1" x14ac:dyDescent="0.3">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26.25" customHeight="1" x14ac:dyDescent="0.3">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26.25" customHeight="1" x14ac:dyDescent="0.3">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26.25" customHeight="1" x14ac:dyDescent="0.3">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26.25" customHeight="1" x14ac:dyDescent="0.3">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26.25" customHeight="1" x14ac:dyDescent="0.3">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26.25" customHeight="1" x14ac:dyDescent="0.3">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26.25" customHeight="1" x14ac:dyDescent="0.3">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26.25" customHeight="1" x14ac:dyDescent="0.3">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26.25" customHeight="1" x14ac:dyDescent="0.3">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26.25" customHeight="1" x14ac:dyDescent="0.3">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26.25" customHeight="1" x14ac:dyDescent="0.3">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26.25" customHeight="1" x14ac:dyDescent="0.3">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26.25" customHeight="1" x14ac:dyDescent="0.3">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26.25" customHeight="1" x14ac:dyDescent="0.3">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26.25" customHeight="1" x14ac:dyDescent="0.3">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26.25" customHeight="1" x14ac:dyDescent="0.3">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26.25" customHeight="1" x14ac:dyDescent="0.3">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26.25" customHeight="1" x14ac:dyDescent="0.3">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26.25" customHeight="1" x14ac:dyDescent="0.3">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26.25" customHeight="1" x14ac:dyDescent="0.3">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26.25" customHeight="1" x14ac:dyDescent="0.3">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26.25" customHeight="1" x14ac:dyDescent="0.3">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26.25" customHeight="1" x14ac:dyDescent="0.3">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26.25" customHeight="1" x14ac:dyDescent="0.3">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26.25" customHeight="1" x14ac:dyDescent="0.3">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26.25" customHeight="1" x14ac:dyDescent="0.3">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26.25" customHeight="1" x14ac:dyDescent="0.3">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26.25" customHeight="1" x14ac:dyDescent="0.3">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26.25" customHeight="1" x14ac:dyDescent="0.3">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26.25" customHeight="1" x14ac:dyDescent="0.3">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26.25" customHeight="1" x14ac:dyDescent="0.3">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26.25" customHeight="1" x14ac:dyDescent="0.3">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26.25" customHeight="1" x14ac:dyDescent="0.3">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26.25" customHeight="1" x14ac:dyDescent="0.3">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26.25" customHeight="1" x14ac:dyDescent="0.3">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26.25" customHeight="1" x14ac:dyDescent="0.3">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26.25" customHeight="1" x14ac:dyDescent="0.3">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26.25" customHeight="1" x14ac:dyDescent="0.3">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26.25" customHeight="1" x14ac:dyDescent="0.3">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26.25" customHeight="1" x14ac:dyDescent="0.3">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26.25" customHeight="1" x14ac:dyDescent="0.3">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26.25" customHeight="1" x14ac:dyDescent="0.3">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26.25" customHeight="1" x14ac:dyDescent="0.3">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26.25" customHeight="1" x14ac:dyDescent="0.3">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26.25" customHeight="1" x14ac:dyDescent="0.3">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26.25" customHeight="1" x14ac:dyDescent="0.3">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26.25" customHeight="1" x14ac:dyDescent="0.3">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26.25" customHeight="1" x14ac:dyDescent="0.3">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26.25" customHeight="1" x14ac:dyDescent="0.3">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26.25" customHeight="1" x14ac:dyDescent="0.3">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26.25" customHeight="1" x14ac:dyDescent="0.3">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26.25" customHeight="1" x14ac:dyDescent="0.3">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26.25" customHeight="1" x14ac:dyDescent="0.3">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26.25" customHeight="1" x14ac:dyDescent="0.3">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26.25" customHeight="1" x14ac:dyDescent="0.3">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26.25" customHeight="1" x14ac:dyDescent="0.3">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26.25" customHeight="1" x14ac:dyDescent="0.3">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26.25" customHeight="1" x14ac:dyDescent="0.3">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26.25" customHeight="1" x14ac:dyDescent="0.3">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26.25" customHeight="1" x14ac:dyDescent="0.3">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26.25" customHeight="1" x14ac:dyDescent="0.3">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26.25" customHeight="1" x14ac:dyDescent="0.3">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26.25" customHeight="1" x14ac:dyDescent="0.3">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26.25" customHeight="1" x14ac:dyDescent="0.3">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26.25" customHeight="1" x14ac:dyDescent="0.3">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26.25" customHeight="1" x14ac:dyDescent="0.3">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26.25" customHeight="1" x14ac:dyDescent="0.3">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26.25" customHeight="1" x14ac:dyDescent="0.3">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26.25" customHeight="1" x14ac:dyDescent="0.3">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26.25" customHeight="1" x14ac:dyDescent="0.3">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26.25" customHeight="1" x14ac:dyDescent="0.3">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26.25" customHeight="1" x14ac:dyDescent="0.3">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26.25" customHeight="1" x14ac:dyDescent="0.3">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26.25" customHeight="1" x14ac:dyDescent="0.3">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26.25" customHeight="1" x14ac:dyDescent="0.3">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26.25" customHeight="1" x14ac:dyDescent="0.3">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26.25" customHeight="1" x14ac:dyDescent="0.3">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26.25" customHeight="1" x14ac:dyDescent="0.3">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26.25" customHeight="1" x14ac:dyDescent="0.3">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26.25" customHeight="1" x14ac:dyDescent="0.3">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26.25" customHeight="1" x14ac:dyDescent="0.3">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26.25" customHeight="1" x14ac:dyDescent="0.3">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26.25" customHeight="1" x14ac:dyDescent="0.3">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26.25" customHeight="1" x14ac:dyDescent="0.3">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26.25" customHeight="1" x14ac:dyDescent="0.3">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26.25" customHeight="1" x14ac:dyDescent="0.3">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26.25" customHeight="1" x14ac:dyDescent="0.3">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26.25" customHeight="1" x14ac:dyDescent="0.3">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26.25" customHeight="1" x14ac:dyDescent="0.3">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26.25" customHeight="1" x14ac:dyDescent="0.3">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26.25" customHeight="1" x14ac:dyDescent="0.3">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26.25" customHeight="1" x14ac:dyDescent="0.3">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26.25" customHeight="1" x14ac:dyDescent="0.3">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26.25" customHeight="1" x14ac:dyDescent="0.3">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26.25" customHeight="1" x14ac:dyDescent="0.3">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26.25" customHeight="1" x14ac:dyDescent="0.3">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26.25" customHeight="1" x14ac:dyDescent="0.3">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26.25" customHeight="1" x14ac:dyDescent="0.3">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26.25" customHeight="1" x14ac:dyDescent="0.3">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26.25" customHeight="1" x14ac:dyDescent="0.3">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26.25" customHeight="1" x14ac:dyDescent="0.3">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26.25" customHeight="1" x14ac:dyDescent="0.3">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26.25" customHeight="1" x14ac:dyDescent="0.3">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26.25" customHeight="1" x14ac:dyDescent="0.3">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26.25" customHeight="1" x14ac:dyDescent="0.3">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26.25" customHeight="1" x14ac:dyDescent="0.3">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26.25" customHeight="1" x14ac:dyDescent="0.3">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26.25" customHeight="1" x14ac:dyDescent="0.3">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26.25" customHeight="1" x14ac:dyDescent="0.3">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26.25" customHeight="1" x14ac:dyDescent="0.3">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26.25" customHeight="1" x14ac:dyDescent="0.3">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26.25" customHeight="1" x14ac:dyDescent="0.3">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26.25" customHeight="1" x14ac:dyDescent="0.3">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26.25" customHeight="1" x14ac:dyDescent="0.3">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26.25" customHeight="1" x14ac:dyDescent="0.3">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26.25" customHeight="1" x14ac:dyDescent="0.3">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26.25" customHeight="1" x14ac:dyDescent="0.3">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26.25" customHeight="1" x14ac:dyDescent="0.3">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26.25" customHeight="1" x14ac:dyDescent="0.3">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26.25" customHeight="1" x14ac:dyDescent="0.3">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26.25" customHeight="1" x14ac:dyDescent="0.3">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26.25" customHeight="1" x14ac:dyDescent="0.3">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26.25" customHeight="1" x14ac:dyDescent="0.3">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26.25" customHeight="1" x14ac:dyDescent="0.3">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26.25" customHeight="1" x14ac:dyDescent="0.3">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26.25" customHeight="1" x14ac:dyDescent="0.3">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26.25" customHeight="1" x14ac:dyDescent="0.3">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26.25" customHeight="1" x14ac:dyDescent="0.3">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26.25" customHeight="1" x14ac:dyDescent="0.3">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26.25" customHeight="1" x14ac:dyDescent="0.3">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26.25" customHeight="1" x14ac:dyDescent="0.3">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26.25" customHeight="1" x14ac:dyDescent="0.3">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26.25" customHeight="1" x14ac:dyDescent="0.3">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26.25" customHeight="1" x14ac:dyDescent="0.3">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26.25" customHeight="1" x14ac:dyDescent="0.3">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26.25" customHeight="1" x14ac:dyDescent="0.3">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26.25" customHeight="1" x14ac:dyDescent="0.3">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26.25" customHeight="1" x14ac:dyDescent="0.3">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26.25" customHeight="1" x14ac:dyDescent="0.3">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26.25" customHeight="1" x14ac:dyDescent="0.3">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26.25" customHeight="1" x14ac:dyDescent="0.3">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26.25" customHeight="1" x14ac:dyDescent="0.3">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26.25" customHeight="1" x14ac:dyDescent="0.3">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26.25" customHeight="1" x14ac:dyDescent="0.3">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26.25" customHeight="1" x14ac:dyDescent="0.3">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26.25" customHeight="1" x14ac:dyDescent="0.3">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26.25" customHeight="1" x14ac:dyDescent="0.3">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26.25" customHeight="1" x14ac:dyDescent="0.3">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26.25" customHeight="1" x14ac:dyDescent="0.3">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26.25" customHeight="1" x14ac:dyDescent="0.3">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26.25" customHeight="1" x14ac:dyDescent="0.3">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26.25" customHeight="1" x14ac:dyDescent="0.3">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26.25" customHeight="1" x14ac:dyDescent="0.3">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26.25" customHeight="1" x14ac:dyDescent="0.3">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26.25" customHeight="1" x14ac:dyDescent="0.3">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26.25" customHeight="1" x14ac:dyDescent="0.3">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26.25" customHeight="1" x14ac:dyDescent="0.3">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26.25" customHeight="1" x14ac:dyDescent="0.3">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26.25" customHeight="1" x14ac:dyDescent="0.3">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26.25" customHeight="1" x14ac:dyDescent="0.3">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26.25" customHeight="1" x14ac:dyDescent="0.3">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26.25" customHeight="1" x14ac:dyDescent="0.3">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26.25" customHeight="1" x14ac:dyDescent="0.3">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26.25" customHeight="1" x14ac:dyDescent="0.3">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26.25" customHeight="1" x14ac:dyDescent="0.3">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26.25" customHeight="1" x14ac:dyDescent="0.3">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26.25" customHeight="1" x14ac:dyDescent="0.3">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26.25" customHeight="1" x14ac:dyDescent="0.3">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26.25" customHeight="1" x14ac:dyDescent="0.3">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26.25" customHeight="1" x14ac:dyDescent="0.3">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26.25" customHeight="1" x14ac:dyDescent="0.3">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26.25" customHeight="1" x14ac:dyDescent="0.3">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26.25" customHeight="1" x14ac:dyDescent="0.3">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26.25" customHeight="1" x14ac:dyDescent="0.3">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26.25" customHeight="1" x14ac:dyDescent="0.3">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26.25" customHeight="1" x14ac:dyDescent="0.3">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26.25" customHeight="1" x14ac:dyDescent="0.3">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26.25" customHeight="1" x14ac:dyDescent="0.3">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26.25" customHeight="1" x14ac:dyDescent="0.3">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26.25" customHeight="1" x14ac:dyDescent="0.3">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26.25" customHeight="1" x14ac:dyDescent="0.3">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26.25" customHeight="1" x14ac:dyDescent="0.3">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26.25" customHeight="1" x14ac:dyDescent="0.3">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26.25" customHeight="1" x14ac:dyDescent="0.3">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26.25" customHeight="1" x14ac:dyDescent="0.3">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26.25" customHeight="1" x14ac:dyDescent="0.3">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26.25" customHeight="1" x14ac:dyDescent="0.3">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26.25" customHeight="1" x14ac:dyDescent="0.3">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26.25" customHeight="1" x14ac:dyDescent="0.3">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26.25" customHeight="1" x14ac:dyDescent="0.3">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26.25" customHeight="1" x14ac:dyDescent="0.3">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26.25" customHeight="1" x14ac:dyDescent="0.3">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26.25" customHeight="1" x14ac:dyDescent="0.3">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26.25" customHeight="1" x14ac:dyDescent="0.3">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26.25" customHeight="1" x14ac:dyDescent="0.3">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26.25" customHeight="1" x14ac:dyDescent="0.3">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26.25" customHeight="1" x14ac:dyDescent="0.3">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26.25" customHeight="1" x14ac:dyDescent="0.3">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26.25" customHeight="1" x14ac:dyDescent="0.3">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26.25" customHeight="1" x14ac:dyDescent="0.3">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26.25" customHeight="1" x14ac:dyDescent="0.3">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26.25" customHeight="1" x14ac:dyDescent="0.3">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26.25" customHeight="1" x14ac:dyDescent="0.3">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26.25" customHeight="1" x14ac:dyDescent="0.3">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26.25" customHeight="1" x14ac:dyDescent="0.3">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26.25" customHeight="1" x14ac:dyDescent="0.3">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26.25" customHeight="1" x14ac:dyDescent="0.3">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26.25" customHeight="1" x14ac:dyDescent="0.3">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26.25" customHeight="1" x14ac:dyDescent="0.3">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26.25" customHeight="1" x14ac:dyDescent="0.3">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26.25" customHeight="1" x14ac:dyDescent="0.3">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26.25" customHeight="1" x14ac:dyDescent="0.3">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26.25" customHeight="1" x14ac:dyDescent="0.3">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26.25" customHeight="1" x14ac:dyDescent="0.3">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26.25" customHeight="1" x14ac:dyDescent="0.3">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26.25" customHeight="1" x14ac:dyDescent="0.3">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26.25" customHeight="1" x14ac:dyDescent="0.3">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26.25" customHeight="1" x14ac:dyDescent="0.3">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26.25" customHeight="1" x14ac:dyDescent="0.3">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26.25" customHeight="1" x14ac:dyDescent="0.3">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26.25" customHeight="1" x14ac:dyDescent="0.3">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26.25" customHeight="1" x14ac:dyDescent="0.3">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26.25" customHeight="1" x14ac:dyDescent="0.3">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26.25" customHeight="1" x14ac:dyDescent="0.3">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26.25" customHeight="1" x14ac:dyDescent="0.3">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26.25" customHeight="1" x14ac:dyDescent="0.3">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26.25" customHeight="1" x14ac:dyDescent="0.3">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26.25" customHeight="1" x14ac:dyDescent="0.3">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26.25" customHeight="1" x14ac:dyDescent="0.3">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26.25" customHeight="1" x14ac:dyDescent="0.3">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26.25" customHeight="1" x14ac:dyDescent="0.3">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26.25" customHeight="1" x14ac:dyDescent="0.3">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26.25" customHeight="1" x14ac:dyDescent="0.3">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26.25" customHeight="1" x14ac:dyDescent="0.3">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26.25" customHeight="1" x14ac:dyDescent="0.3">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26.25" customHeight="1" x14ac:dyDescent="0.3">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26.25" customHeight="1" x14ac:dyDescent="0.3">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26.25" customHeight="1" x14ac:dyDescent="0.3">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26.25" customHeight="1" x14ac:dyDescent="0.3">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26.25" customHeight="1" x14ac:dyDescent="0.3">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26.25" customHeight="1" x14ac:dyDescent="0.3">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26.25" customHeight="1" x14ac:dyDescent="0.3">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26.25" customHeight="1" x14ac:dyDescent="0.3">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26.25" customHeight="1" x14ac:dyDescent="0.3">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26.25" customHeight="1" x14ac:dyDescent="0.3">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26.25" customHeight="1" x14ac:dyDescent="0.3">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26.25" customHeight="1" x14ac:dyDescent="0.3">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26.25" customHeight="1" x14ac:dyDescent="0.3">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26.25" customHeight="1" x14ac:dyDescent="0.3">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26.25" customHeight="1" x14ac:dyDescent="0.3">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26.25" customHeight="1" x14ac:dyDescent="0.3">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26.25" customHeight="1" x14ac:dyDescent="0.3">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26.25" customHeight="1" x14ac:dyDescent="0.3">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26.25" customHeight="1" x14ac:dyDescent="0.3">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26.25" customHeight="1" x14ac:dyDescent="0.3">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26.25" customHeight="1" x14ac:dyDescent="0.3">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26.25" customHeight="1" x14ac:dyDescent="0.3">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26.25" customHeight="1" x14ac:dyDescent="0.3">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26.25" customHeight="1" x14ac:dyDescent="0.3">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26.25" customHeight="1" x14ac:dyDescent="0.3">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26.25" customHeight="1" x14ac:dyDescent="0.3">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26.25" customHeight="1" x14ac:dyDescent="0.3">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26.25" customHeight="1" x14ac:dyDescent="0.3">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26.25" customHeight="1" x14ac:dyDescent="0.3">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26.25" customHeight="1" x14ac:dyDescent="0.3">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26.25" customHeight="1" x14ac:dyDescent="0.3">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26.25" customHeight="1" x14ac:dyDescent="0.3">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26.25" customHeight="1" x14ac:dyDescent="0.3">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26.25" customHeight="1" x14ac:dyDescent="0.3">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26.25" customHeight="1" x14ac:dyDescent="0.3">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26.25" customHeight="1" x14ac:dyDescent="0.3">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26.25" customHeight="1" x14ac:dyDescent="0.3">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26.25" customHeight="1" x14ac:dyDescent="0.3">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26.25" customHeight="1" x14ac:dyDescent="0.3">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26.25" customHeight="1" x14ac:dyDescent="0.3">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26.25" customHeight="1" x14ac:dyDescent="0.3">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26.25" customHeight="1" x14ac:dyDescent="0.3">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26.25" customHeight="1" x14ac:dyDescent="0.3">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26.25" customHeight="1" x14ac:dyDescent="0.3">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26.25" customHeight="1" x14ac:dyDescent="0.3">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26.25" customHeight="1" x14ac:dyDescent="0.3">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26.25" customHeight="1" x14ac:dyDescent="0.3">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26.25" customHeight="1" x14ac:dyDescent="0.3">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26.25" customHeight="1" x14ac:dyDescent="0.3">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26.25" customHeight="1" x14ac:dyDescent="0.3">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26.25" customHeight="1" x14ac:dyDescent="0.3">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26.25" customHeight="1" x14ac:dyDescent="0.3">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26.25" customHeight="1" x14ac:dyDescent="0.3">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26.25" customHeight="1" x14ac:dyDescent="0.3">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26.25" customHeight="1" x14ac:dyDescent="0.3">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26.25" customHeight="1" x14ac:dyDescent="0.3">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26.25" customHeight="1" x14ac:dyDescent="0.3">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26.25" customHeight="1" x14ac:dyDescent="0.3">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26.25" customHeight="1" x14ac:dyDescent="0.3">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26.25" customHeight="1" x14ac:dyDescent="0.3">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26.25" customHeight="1" x14ac:dyDescent="0.3">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26.25" customHeight="1" x14ac:dyDescent="0.3">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26.25" customHeight="1" x14ac:dyDescent="0.3">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26.25" customHeight="1" x14ac:dyDescent="0.3">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26.25" customHeight="1" x14ac:dyDescent="0.3">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26.25" customHeight="1" x14ac:dyDescent="0.3">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26.25" customHeight="1" x14ac:dyDescent="0.3">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26.25" customHeight="1" x14ac:dyDescent="0.3">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26.25" customHeight="1" x14ac:dyDescent="0.3">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26.25" customHeight="1" x14ac:dyDescent="0.3">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26.25" customHeight="1" x14ac:dyDescent="0.3">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26.25" customHeight="1" x14ac:dyDescent="0.3">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26.25" customHeight="1" x14ac:dyDescent="0.3">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26.25" customHeight="1" x14ac:dyDescent="0.3">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26.25" customHeight="1" x14ac:dyDescent="0.3">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26.25" customHeight="1" x14ac:dyDescent="0.3">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26.25" customHeight="1" x14ac:dyDescent="0.3">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26.25" customHeight="1" x14ac:dyDescent="0.3">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26.25" customHeight="1" x14ac:dyDescent="0.3">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26.25" customHeight="1" x14ac:dyDescent="0.3">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26.25" customHeight="1" x14ac:dyDescent="0.3">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26.25" customHeight="1" x14ac:dyDescent="0.3">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26.25" customHeight="1" x14ac:dyDescent="0.3">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26.25" customHeight="1" x14ac:dyDescent="0.3">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26.25" customHeight="1" x14ac:dyDescent="0.3">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26.25" customHeight="1" x14ac:dyDescent="0.3">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26.25" customHeight="1" x14ac:dyDescent="0.3">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26.25" customHeight="1" x14ac:dyDescent="0.3">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26.25" customHeight="1" x14ac:dyDescent="0.3">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26.25" customHeight="1" x14ac:dyDescent="0.3">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26.25" customHeight="1" x14ac:dyDescent="0.3">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26.25" customHeight="1" x14ac:dyDescent="0.3">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26.25" customHeight="1" x14ac:dyDescent="0.3">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26.25" customHeight="1" x14ac:dyDescent="0.3">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26.25" customHeight="1" x14ac:dyDescent="0.3">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26.25" customHeight="1" x14ac:dyDescent="0.3">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26.25" customHeight="1" x14ac:dyDescent="0.3">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26.25" customHeight="1" x14ac:dyDescent="0.3">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26.25" customHeight="1" x14ac:dyDescent="0.3">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26.25" customHeight="1" x14ac:dyDescent="0.3">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26.25" customHeight="1" x14ac:dyDescent="0.3">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26.25" customHeight="1" x14ac:dyDescent="0.3">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26.25" customHeight="1" x14ac:dyDescent="0.3">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26.25" customHeight="1" x14ac:dyDescent="0.3">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26.25" customHeight="1" x14ac:dyDescent="0.3">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26.25" customHeight="1" x14ac:dyDescent="0.3">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26.25" customHeight="1" x14ac:dyDescent="0.3">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26.25" customHeight="1" x14ac:dyDescent="0.3">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26.25" customHeight="1" x14ac:dyDescent="0.3">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26.25" customHeight="1" x14ac:dyDescent="0.3">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26.25" customHeight="1" x14ac:dyDescent="0.3">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26.25" customHeight="1" x14ac:dyDescent="0.3">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26.25" customHeight="1" x14ac:dyDescent="0.3">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26.25" customHeight="1" x14ac:dyDescent="0.3">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26.25" customHeight="1" x14ac:dyDescent="0.3">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26.25" customHeight="1" x14ac:dyDescent="0.3">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26.25" customHeight="1" x14ac:dyDescent="0.3">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26.25" customHeight="1" x14ac:dyDescent="0.3">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26.25" customHeight="1" x14ac:dyDescent="0.3">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26.25" customHeight="1" x14ac:dyDescent="0.3">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26.25" customHeight="1" x14ac:dyDescent="0.3">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26.25" customHeight="1" x14ac:dyDescent="0.3">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26.25" customHeight="1" x14ac:dyDescent="0.3">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26.25" customHeight="1" x14ac:dyDescent="0.3">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26.25" customHeight="1" x14ac:dyDescent="0.3">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26.25" customHeight="1" x14ac:dyDescent="0.3">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26.25" customHeight="1" x14ac:dyDescent="0.3">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26.25" customHeight="1" x14ac:dyDescent="0.3">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26.25" customHeight="1" x14ac:dyDescent="0.3">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26.25" customHeight="1" x14ac:dyDescent="0.3">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26.25" customHeight="1" x14ac:dyDescent="0.3">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26.25" customHeight="1" x14ac:dyDescent="0.3">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26.25" customHeight="1" x14ac:dyDescent="0.3">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26.25" customHeight="1" x14ac:dyDescent="0.3">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26.25" customHeight="1" x14ac:dyDescent="0.3">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26.25" customHeight="1" x14ac:dyDescent="0.3">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26.25" customHeight="1" x14ac:dyDescent="0.3">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26.25" customHeight="1" x14ac:dyDescent="0.3">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26.25" customHeight="1" x14ac:dyDescent="0.3">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26.25" customHeight="1" x14ac:dyDescent="0.3">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26.25" customHeight="1" x14ac:dyDescent="0.3">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26.25" customHeight="1" x14ac:dyDescent="0.3">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26.25" customHeight="1" x14ac:dyDescent="0.3">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26.25" customHeight="1" x14ac:dyDescent="0.3">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26.25" customHeight="1" x14ac:dyDescent="0.3">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26.25" customHeight="1" x14ac:dyDescent="0.3">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26.25" customHeight="1" x14ac:dyDescent="0.3">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26.25" customHeight="1" x14ac:dyDescent="0.3">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26.25" customHeight="1" x14ac:dyDescent="0.3">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26.25" customHeight="1" x14ac:dyDescent="0.3">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26.25" customHeight="1" x14ac:dyDescent="0.3">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26.25" customHeight="1" x14ac:dyDescent="0.3">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26.25" customHeight="1" x14ac:dyDescent="0.3">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26.25" customHeight="1" x14ac:dyDescent="0.3">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26.25" customHeight="1" x14ac:dyDescent="0.3">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26.25" customHeight="1" x14ac:dyDescent="0.3">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26.25" customHeight="1" x14ac:dyDescent="0.3">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26.25" customHeight="1" x14ac:dyDescent="0.3">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26.25" customHeight="1" x14ac:dyDescent="0.3">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26.25" customHeight="1" x14ac:dyDescent="0.3">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26.25" customHeight="1" x14ac:dyDescent="0.3">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26.25" customHeight="1" x14ac:dyDescent="0.3">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26.25" customHeight="1" x14ac:dyDescent="0.3">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26.25" customHeight="1" x14ac:dyDescent="0.3">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26.25" customHeight="1" x14ac:dyDescent="0.3">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26.25" customHeight="1" x14ac:dyDescent="0.3">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26.25" customHeight="1" x14ac:dyDescent="0.3">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26.25" customHeight="1" x14ac:dyDescent="0.3">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26.25" customHeight="1" x14ac:dyDescent="0.3">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26.25" customHeight="1" x14ac:dyDescent="0.3">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26.25" customHeight="1" x14ac:dyDescent="0.3">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26.25" customHeight="1" x14ac:dyDescent="0.3">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26.25" customHeight="1" x14ac:dyDescent="0.3">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26.25" customHeight="1" x14ac:dyDescent="0.3">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26.25" customHeight="1" x14ac:dyDescent="0.3">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26.25" customHeight="1" x14ac:dyDescent="0.3">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26.25" customHeight="1" x14ac:dyDescent="0.3">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26.25" customHeight="1" x14ac:dyDescent="0.3">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26.25" customHeight="1" x14ac:dyDescent="0.3">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26.25" customHeight="1" x14ac:dyDescent="0.3">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26.25" customHeight="1" x14ac:dyDescent="0.3">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26.25" customHeight="1" x14ac:dyDescent="0.3">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26.25" customHeight="1" x14ac:dyDescent="0.3">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26.25" customHeight="1" x14ac:dyDescent="0.3">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26.25" customHeight="1" x14ac:dyDescent="0.3">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26.25" customHeight="1" x14ac:dyDescent="0.3">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26.25" customHeight="1" x14ac:dyDescent="0.3">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26.25" customHeight="1" x14ac:dyDescent="0.3">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26.25" customHeight="1" x14ac:dyDescent="0.3">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26.25" customHeight="1" x14ac:dyDescent="0.3">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26.25" customHeight="1" x14ac:dyDescent="0.3">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26.25" customHeight="1" x14ac:dyDescent="0.3">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26.25" customHeight="1" x14ac:dyDescent="0.3">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26.25" customHeight="1" x14ac:dyDescent="0.3">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26.25" customHeight="1" x14ac:dyDescent="0.3">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26.25" customHeight="1" x14ac:dyDescent="0.3">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26.25" customHeight="1" x14ac:dyDescent="0.3">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26.25" customHeight="1" x14ac:dyDescent="0.3">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26.25" customHeight="1" x14ac:dyDescent="0.3">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26.25" customHeight="1" x14ac:dyDescent="0.3">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26.25" customHeight="1" x14ac:dyDescent="0.3">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26.25" customHeight="1" x14ac:dyDescent="0.3">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26.25" customHeight="1" x14ac:dyDescent="0.3">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26.25" customHeight="1" x14ac:dyDescent="0.3">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26.25" customHeight="1" x14ac:dyDescent="0.3">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26.25" customHeight="1" x14ac:dyDescent="0.3">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26.25" customHeight="1" x14ac:dyDescent="0.3">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26.25" customHeight="1" x14ac:dyDescent="0.3">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26.25" customHeight="1" x14ac:dyDescent="0.3">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26.25" customHeight="1" x14ac:dyDescent="0.3">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26.25" customHeight="1" x14ac:dyDescent="0.3">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26.25" customHeight="1" x14ac:dyDescent="0.3">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26.25" customHeight="1" x14ac:dyDescent="0.3">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26.25" customHeight="1" x14ac:dyDescent="0.3">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26.25" customHeight="1" x14ac:dyDescent="0.3">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26.25" customHeight="1" x14ac:dyDescent="0.3">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26.25" customHeight="1" x14ac:dyDescent="0.3">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26.25" customHeight="1" x14ac:dyDescent="0.3">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26.25" customHeight="1" x14ac:dyDescent="0.3">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26.25" customHeight="1" x14ac:dyDescent="0.3">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26.25" customHeight="1" x14ac:dyDescent="0.3">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26.25" customHeight="1" x14ac:dyDescent="0.3">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26.25" customHeight="1" x14ac:dyDescent="0.3">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26.25" customHeight="1" x14ac:dyDescent="0.3">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26.25" customHeight="1" x14ac:dyDescent="0.3">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26.25" customHeight="1" x14ac:dyDescent="0.3">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26.25" customHeight="1" x14ac:dyDescent="0.3">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26.25" customHeight="1" x14ac:dyDescent="0.3">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26.25" customHeight="1" x14ac:dyDescent="0.3">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26.25" customHeight="1" x14ac:dyDescent="0.3">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26.25" customHeight="1" x14ac:dyDescent="0.3">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26.25" customHeight="1" x14ac:dyDescent="0.3">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26.25" customHeight="1" x14ac:dyDescent="0.3">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26.25" customHeight="1" x14ac:dyDescent="0.3">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26.25" customHeight="1" x14ac:dyDescent="0.3">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26.25" customHeight="1" x14ac:dyDescent="0.3">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26.25" customHeight="1" x14ac:dyDescent="0.3">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26.25" customHeight="1" x14ac:dyDescent="0.3">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26.25" customHeight="1" x14ac:dyDescent="0.3">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26.25" customHeight="1" x14ac:dyDescent="0.3">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26.25" customHeight="1" x14ac:dyDescent="0.3">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26.25" customHeight="1" x14ac:dyDescent="0.3">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26.25" customHeight="1" x14ac:dyDescent="0.3">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26.25" customHeight="1" x14ac:dyDescent="0.3">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26.25" customHeight="1" x14ac:dyDescent="0.3">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26.25" customHeight="1" x14ac:dyDescent="0.3">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26.25" customHeight="1" x14ac:dyDescent="0.3">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26.25" customHeight="1" x14ac:dyDescent="0.3">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26.25" customHeight="1" x14ac:dyDescent="0.3">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26.25" customHeight="1" x14ac:dyDescent="0.3">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26.25" customHeight="1" x14ac:dyDescent="0.3">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26.25" customHeight="1" x14ac:dyDescent="0.3">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26.25" customHeight="1" x14ac:dyDescent="0.3">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26.25" customHeight="1" x14ac:dyDescent="0.3">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26.25" customHeight="1" x14ac:dyDescent="0.3">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26.25" customHeight="1" x14ac:dyDescent="0.3">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26.25" customHeight="1" x14ac:dyDescent="0.3">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26.25" customHeight="1" x14ac:dyDescent="0.3">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26.25" customHeight="1" x14ac:dyDescent="0.3">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26.25" customHeight="1" x14ac:dyDescent="0.3">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26.25" customHeight="1" x14ac:dyDescent="0.3">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26.25" customHeight="1" x14ac:dyDescent="0.3">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26.25" customHeight="1" x14ac:dyDescent="0.3">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26.25" customHeight="1" x14ac:dyDescent="0.3">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26.25" customHeight="1" x14ac:dyDescent="0.3">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26.25" customHeight="1" x14ac:dyDescent="0.3">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26.25" customHeight="1" x14ac:dyDescent="0.3">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26.25" customHeight="1" x14ac:dyDescent="0.3">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26.25" customHeight="1" x14ac:dyDescent="0.3">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26.25" customHeight="1" x14ac:dyDescent="0.3">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26.25" customHeight="1" x14ac:dyDescent="0.3">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26.25" customHeight="1" x14ac:dyDescent="0.3">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26.25" customHeight="1" x14ac:dyDescent="0.3">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26.25" customHeight="1" x14ac:dyDescent="0.3">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26.25" customHeight="1" x14ac:dyDescent="0.3">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26.25" customHeight="1" x14ac:dyDescent="0.3">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26.25" customHeight="1" x14ac:dyDescent="0.3">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26.25" customHeight="1" x14ac:dyDescent="0.3">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26.25" customHeight="1" x14ac:dyDescent="0.3">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26.25" customHeight="1" x14ac:dyDescent="0.3">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26.25" customHeight="1" x14ac:dyDescent="0.3">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26.25" customHeight="1" x14ac:dyDescent="0.3">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26.25" customHeight="1" x14ac:dyDescent="0.3">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26.25" customHeight="1" x14ac:dyDescent="0.3">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26.25" customHeight="1" x14ac:dyDescent="0.3">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26.25" customHeight="1" x14ac:dyDescent="0.3">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26.25" customHeight="1" x14ac:dyDescent="0.3">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26.25" customHeight="1" x14ac:dyDescent="0.3">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26.25" customHeight="1" x14ac:dyDescent="0.3">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26.25" customHeight="1" x14ac:dyDescent="0.3">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26.25" customHeight="1" x14ac:dyDescent="0.3">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26.25" customHeight="1" x14ac:dyDescent="0.3">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26.25" customHeight="1" x14ac:dyDescent="0.3">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26.25" customHeight="1" x14ac:dyDescent="0.3">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26.25" customHeight="1" x14ac:dyDescent="0.3">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26.25" customHeight="1" x14ac:dyDescent="0.3">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26.25" customHeight="1" x14ac:dyDescent="0.3">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26.25" customHeight="1" x14ac:dyDescent="0.3">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26.25" customHeight="1" x14ac:dyDescent="0.3">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26.25" customHeight="1" x14ac:dyDescent="0.3">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26.25" customHeight="1" x14ac:dyDescent="0.3">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26.25" customHeight="1" x14ac:dyDescent="0.3">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26.25" customHeight="1" x14ac:dyDescent="0.3">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26.25" customHeight="1" x14ac:dyDescent="0.3">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26.25" customHeight="1" x14ac:dyDescent="0.3">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26.25" customHeight="1" x14ac:dyDescent="0.3">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26.25" customHeight="1" x14ac:dyDescent="0.3">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26.25" customHeight="1" x14ac:dyDescent="0.3">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26.25" customHeight="1" x14ac:dyDescent="0.3">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26.25" customHeight="1" x14ac:dyDescent="0.3">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26.25" customHeight="1" x14ac:dyDescent="0.3">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26.25" customHeight="1" x14ac:dyDescent="0.3">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26.25" customHeight="1" x14ac:dyDescent="0.3">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26.25" customHeight="1" x14ac:dyDescent="0.3">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26.25" customHeight="1" x14ac:dyDescent="0.3">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26.25" customHeight="1" x14ac:dyDescent="0.3">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26.25" customHeight="1" x14ac:dyDescent="0.3">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26.25" customHeight="1" x14ac:dyDescent="0.3">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26.25" customHeight="1" x14ac:dyDescent="0.3">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26.25" customHeight="1" x14ac:dyDescent="0.3">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26.25" customHeight="1" x14ac:dyDescent="0.3">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26.25" customHeight="1" x14ac:dyDescent="0.3">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26.25" customHeight="1" x14ac:dyDescent="0.3">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26.25" customHeight="1" x14ac:dyDescent="0.3">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26.25" customHeight="1" x14ac:dyDescent="0.3">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26.25" customHeight="1" x14ac:dyDescent="0.3">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26.25" customHeight="1" x14ac:dyDescent="0.3">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26.25" customHeight="1" x14ac:dyDescent="0.3">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26.25" customHeight="1" x14ac:dyDescent="0.3">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26.25" customHeight="1" x14ac:dyDescent="0.3">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26.25" customHeight="1" x14ac:dyDescent="0.3">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26.25" customHeight="1" x14ac:dyDescent="0.3">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26.25" customHeight="1" x14ac:dyDescent="0.3">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26.25" customHeight="1" x14ac:dyDescent="0.3">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26.25" customHeight="1" x14ac:dyDescent="0.3">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26.25" customHeight="1" x14ac:dyDescent="0.3">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26.25" customHeight="1" x14ac:dyDescent="0.3">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26.25" customHeight="1" x14ac:dyDescent="0.3">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26.25" customHeight="1" x14ac:dyDescent="0.3">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26.25" customHeight="1" x14ac:dyDescent="0.3">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26.25" customHeight="1" x14ac:dyDescent="0.3">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26.25" customHeight="1" x14ac:dyDescent="0.3">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26.25" customHeight="1" x14ac:dyDescent="0.3">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26.25" customHeight="1" x14ac:dyDescent="0.3">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26.25" customHeight="1" x14ac:dyDescent="0.3">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26.25" customHeight="1" x14ac:dyDescent="0.3">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26.25" customHeight="1" x14ac:dyDescent="0.3">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26.25" customHeight="1" x14ac:dyDescent="0.3">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26.25" customHeight="1" x14ac:dyDescent="0.3">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26.25" customHeight="1" x14ac:dyDescent="0.3">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26.25" customHeight="1" x14ac:dyDescent="0.3">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26.25" customHeight="1" x14ac:dyDescent="0.3">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26.25" customHeight="1" x14ac:dyDescent="0.3">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26.25" customHeight="1" x14ac:dyDescent="0.3">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26.25" customHeight="1" x14ac:dyDescent="0.3">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26.25" customHeight="1" x14ac:dyDescent="0.3">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26.25" customHeight="1" x14ac:dyDescent="0.3">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26.25" customHeight="1" x14ac:dyDescent="0.3">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26.25" customHeight="1" x14ac:dyDescent="0.3">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26.25" customHeight="1" x14ac:dyDescent="0.3">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26.25" customHeight="1" x14ac:dyDescent="0.3">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26.25" customHeight="1" x14ac:dyDescent="0.3">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26.25" customHeight="1" x14ac:dyDescent="0.3">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26.25" customHeight="1" x14ac:dyDescent="0.3">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26.25" customHeight="1" x14ac:dyDescent="0.3">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26.25" customHeight="1" x14ac:dyDescent="0.3">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26.25" customHeight="1" x14ac:dyDescent="0.3">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26.25" customHeight="1" x14ac:dyDescent="0.3">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26.25" customHeight="1" x14ac:dyDescent="0.3">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26.25" customHeight="1" x14ac:dyDescent="0.3">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26.25" customHeight="1" x14ac:dyDescent="0.3">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26.25" customHeight="1" x14ac:dyDescent="0.3">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26.25" customHeight="1" x14ac:dyDescent="0.3">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26.25" customHeight="1" x14ac:dyDescent="0.3">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26.25" customHeight="1" x14ac:dyDescent="0.3">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26.25" customHeight="1" x14ac:dyDescent="0.3">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26.25" customHeight="1" x14ac:dyDescent="0.3">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26.25" customHeight="1" x14ac:dyDescent="0.3">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26.25" customHeight="1" x14ac:dyDescent="0.3">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26.25" customHeight="1" x14ac:dyDescent="0.3">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26.25" customHeight="1" x14ac:dyDescent="0.3">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26.25" customHeight="1" x14ac:dyDescent="0.3">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26.25" customHeight="1" x14ac:dyDescent="0.3">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26.25" customHeight="1" x14ac:dyDescent="0.3">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26.25" customHeight="1" x14ac:dyDescent="0.3">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26.25" customHeight="1" x14ac:dyDescent="0.3">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26.25" customHeight="1" x14ac:dyDescent="0.3">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26.25" customHeight="1" x14ac:dyDescent="0.3">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26.25" customHeight="1" x14ac:dyDescent="0.3">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26.25" customHeight="1" x14ac:dyDescent="0.3">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26.25" customHeight="1" x14ac:dyDescent="0.3">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26.25" customHeight="1" x14ac:dyDescent="0.3">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26.25" customHeight="1" x14ac:dyDescent="0.3">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26.25" customHeight="1" x14ac:dyDescent="0.3">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26.25" customHeight="1" x14ac:dyDescent="0.3">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26.25" customHeight="1" x14ac:dyDescent="0.3">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26.25" customHeight="1" x14ac:dyDescent="0.3">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26.25" customHeight="1" x14ac:dyDescent="0.3">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26.25" customHeight="1" x14ac:dyDescent="0.3">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26.25" customHeight="1" x14ac:dyDescent="0.3">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26.25" customHeight="1" x14ac:dyDescent="0.3">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26.25" customHeight="1" x14ac:dyDescent="0.3">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26.25" customHeight="1" x14ac:dyDescent="0.3">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26.25" customHeight="1" x14ac:dyDescent="0.3">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26.25" customHeight="1" x14ac:dyDescent="0.3">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26.25" customHeight="1" x14ac:dyDescent="0.3">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26.25" customHeight="1" x14ac:dyDescent="0.3">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26.25" customHeight="1" x14ac:dyDescent="0.3">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26.25" customHeight="1" x14ac:dyDescent="0.3">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26.25" customHeight="1" x14ac:dyDescent="0.3">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26.25" customHeight="1" x14ac:dyDescent="0.3">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26.25" customHeight="1" x14ac:dyDescent="0.3">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26.25" customHeight="1" x14ac:dyDescent="0.3">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26.25" customHeight="1" x14ac:dyDescent="0.3">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26.25" customHeight="1" x14ac:dyDescent="0.3">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26.25" customHeight="1" x14ac:dyDescent="0.3">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26.25" customHeight="1" x14ac:dyDescent="0.3">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26.25" customHeight="1" x14ac:dyDescent="0.3">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26.25" customHeight="1" x14ac:dyDescent="0.3">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26.25" customHeight="1" x14ac:dyDescent="0.3">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26.25" customHeight="1" x14ac:dyDescent="0.3">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26.25" customHeight="1" x14ac:dyDescent="0.3">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26.25" customHeight="1" x14ac:dyDescent="0.3">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26.25" customHeight="1" x14ac:dyDescent="0.3">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26.25" customHeight="1" x14ac:dyDescent="0.3">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26.25" customHeight="1" x14ac:dyDescent="0.3">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26.25" customHeight="1" x14ac:dyDescent="0.3">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26.25" customHeight="1" x14ac:dyDescent="0.3">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26.25" customHeight="1" x14ac:dyDescent="0.3">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26.25" customHeight="1" x14ac:dyDescent="0.3">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26.25" customHeight="1" x14ac:dyDescent="0.3">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26.25" customHeight="1" x14ac:dyDescent="0.3">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26.25" customHeight="1" x14ac:dyDescent="0.3">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26.25" customHeight="1" x14ac:dyDescent="0.3">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26.25" customHeight="1" x14ac:dyDescent="0.3">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26.25" customHeight="1" x14ac:dyDescent="0.3">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26.25" customHeight="1" x14ac:dyDescent="0.3">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26.25" customHeight="1" x14ac:dyDescent="0.3">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26.25" customHeight="1" x14ac:dyDescent="0.3">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26.25" customHeight="1" x14ac:dyDescent="0.3">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26.25" customHeight="1" x14ac:dyDescent="0.3">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26.25" customHeight="1" x14ac:dyDescent="0.3">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26.25" customHeight="1" x14ac:dyDescent="0.3">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26.25" customHeight="1" x14ac:dyDescent="0.3">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26.25" customHeight="1" x14ac:dyDescent="0.3">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26.25" customHeight="1" x14ac:dyDescent="0.3">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26.25" customHeight="1" x14ac:dyDescent="0.3">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26.25" customHeight="1" x14ac:dyDescent="0.3">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26.25" customHeight="1" x14ac:dyDescent="0.3">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26.25" customHeight="1" x14ac:dyDescent="0.3">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26.25" customHeight="1" x14ac:dyDescent="0.3">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26.25" customHeight="1" x14ac:dyDescent="0.3">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26.25" customHeight="1" x14ac:dyDescent="0.3">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26.25" customHeight="1" x14ac:dyDescent="0.3">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26.25" customHeight="1" x14ac:dyDescent="0.3">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26.25" customHeight="1" x14ac:dyDescent="0.3">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26.25" customHeight="1" x14ac:dyDescent="0.3">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26.25" customHeight="1" x14ac:dyDescent="0.3">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26.25" customHeight="1" x14ac:dyDescent="0.3">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26.25" customHeight="1" x14ac:dyDescent="0.3">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26.25" customHeight="1" x14ac:dyDescent="0.3">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26.25" customHeight="1" x14ac:dyDescent="0.3">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26.25" customHeight="1" x14ac:dyDescent="0.3">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26.25" customHeight="1" x14ac:dyDescent="0.3">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26.25" customHeight="1" x14ac:dyDescent="0.3">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26.25" customHeight="1" x14ac:dyDescent="0.3">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26.25" customHeight="1" x14ac:dyDescent="0.3">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26.25" customHeight="1" x14ac:dyDescent="0.3">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26.25" customHeight="1" x14ac:dyDescent="0.3">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26.25" customHeight="1" x14ac:dyDescent="0.3">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26.25" customHeight="1" x14ac:dyDescent="0.3">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26.25" customHeight="1" x14ac:dyDescent="0.3">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26.25" customHeight="1" x14ac:dyDescent="0.3">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26.25" customHeight="1" x14ac:dyDescent="0.3">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26.25" customHeight="1" x14ac:dyDescent="0.3">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26.25" customHeight="1" x14ac:dyDescent="0.3">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26.25" customHeight="1" x14ac:dyDescent="0.3">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26.25" customHeight="1" x14ac:dyDescent="0.3">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26.25" customHeight="1" x14ac:dyDescent="0.3">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26.25" customHeight="1" x14ac:dyDescent="0.3">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26.25" customHeight="1" x14ac:dyDescent="0.3">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26.25" customHeight="1" x14ac:dyDescent="0.3">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26.25" customHeight="1" x14ac:dyDescent="0.3">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26.25" customHeight="1" x14ac:dyDescent="0.3">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26.25" customHeight="1" x14ac:dyDescent="0.3">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26.25" customHeight="1" x14ac:dyDescent="0.3">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26.25" customHeight="1" x14ac:dyDescent="0.3">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26.25" customHeight="1" x14ac:dyDescent="0.3">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26.25" customHeight="1" x14ac:dyDescent="0.3">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26.25" customHeight="1" x14ac:dyDescent="0.3">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26.25" customHeight="1" x14ac:dyDescent="0.3">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26.25" customHeight="1" x14ac:dyDescent="0.3">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26.25" customHeight="1" x14ac:dyDescent="0.3">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26.25" customHeight="1" x14ac:dyDescent="0.3">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26.25" customHeight="1" x14ac:dyDescent="0.3">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26.25" customHeight="1" x14ac:dyDescent="0.3">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26.25" customHeight="1" x14ac:dyDescent="0.3">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26.25" customHeight="1" x14ac:dyDescent="0.3">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26.25" customHeight="1" x14ac:dyDescent="0.3">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26.25" customHeight="1" x14ac:dyDescent="0.3">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26.25" customHeight="1" x14ac:dyDescent="0.3">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26.25" customHeight="1" x14ac:dyDescent="0.3">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26.25" customHeight="1" x14ac:dyDescent="0.3">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26.25" customHeight="1" x14ac:dyDescent="0.3">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26.25" customHeight="1" x14ac:dyDescent="0.3">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26.25" customHeight="1" x14ac:dyDescent="0.3">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26.25" customHeight="1" x14ac:dyDescent="0.3">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26.25" customHeight="1" x14ac:dyDescent="0.3">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26.25" customHeight="1" x14ac:dyDescent="0.3">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26.25" customHeight="1" x14ac:dyDescent="0.3">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26.25" customHeight="1" x14ac:dyDescent="0.3">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26.25" customHeight="1" x14ac:dyDescent="0.3">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26.25" customHeight="1" x14ac:dyDescent="0.3">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26.25" customHeight="1" x14ac:dyDescent="0.3">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26.25" customHeight="1" x14ac:dyDescent="0.3">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26.25" customHeight="1" x14ac:dyDescent="0.3">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26.25" customHeight="1" x14ac:dyDescent="0.3">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26.25" customHeight="1" x14ac:dyDescent="0.3">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26.25" customHeight="1" x14ac:dyDescent="0.3">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26.25" customHeight="1" x14ac:dyDescent="0.3">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26.25" customHeight="1" x14ac:dyDescent="0.3">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26.25" customHeight="1" x14ac:dyDescent="0.3">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26.25" customHeight="1" x14ac:dyDescent="0.3">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26.25" customHeight="1" x14ac:dyDescent="0.3">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26.25" customHeight="1" x14ac:dyDescent="0.3">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26.25" customHeight="1" x14ac:dyDescent="0.3">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26.25" customHeight="1" x14ac:dyDescent="0.3">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26.25" customHeight="1" x14ac:dyDescent="0.3">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26.25" customHeight="1" x14ac:dyDescent="0.3">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26.25" customHeight="1" x14ac:dyDescent="0.3">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26.25" customHeight="1" x14ac:dyDescent="0.3">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26.25" customHeight="1" x14ac:dyDescent="0.3">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26.25" customHeight="1" x14ac:dyDescent="0.3">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26.25" customHeight="1" x14ac:dyDescent="0.3">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26.25" customHeight="1" x14ac:dyDescent="0.3">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26.25" customHeight="1" x14ac:dyDescent="0.3">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26.25" customHeight="1" x14ac:dyDescent="0.3">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26.25" customHeight="1" x14ac:dyDescent="0.3">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26.25" customHeight="1" x14ac:dyDescent="0.3">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26.25" customHeight="1" x14ac:dyDescent="0.3">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26.25" customHeight="1" x14ac:dyDescent="0.3">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26.25" customHeight="1" x14ac:dyDescent="0.3">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26.25" customHeight="1" x14ac:dyDescent="0.3">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26.25" customHeight="1" x14ac:dyDescent="0.3">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26.25" customHeight="1" x14ac:dyDescent="0.3">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26.25" customHeight="1" x14ac:dyDescent="0.3">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26.25" customHeight="1" x14ac:dyDescent="0.3">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26.25" customHeight="1" x14ac:dyDescent="0.3">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26.25" customHeight="1" x14ac:dyDescent="0.3">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26.25" customHeight="1" x14ac:dyDescent="0.3">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26.25" customHeight="1" x14ac:dyDescent="0.3">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26.25" customHeight="1" x14ac:dyDescent="0.3">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26.25" customHeight="1" x14ac:dyDescent="0.3">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26.25" customHeight="1" x14ac:dyDescent="0.3">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26.25" customHeight="1" x14ac:dyDescent="0.3">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26.25" customHeight="1" x14ac:dyDescent="0.3">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26.25" customHeight="1" x14ac:dyDescent="0.3">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26.25" customHeight="1" x14ac:dyDescent="0.3">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26.25" customHeight="1" x14ac:dyDescent="0.3">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26.25" customHeight="1" x14ac:dyDescent="0.3">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26.25" customHeight="1" x14ac:dyDescent="0.3">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26.25" customHeight="1" x14ac:dyDescent="0.3">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26.25" customHeight="1" x14ac:dyDescent="0.3">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26.25" customHeight="1" x14ac:dyDescent="0.3">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26.25" customHeight="1" x14ac:dyDescent="0.3">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26.25" customHeight="1" x14ac:dyDescent="0.3">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26.25" customHeight="1" x14ac:dyDescent="0.3">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26.25" customHeight="1" x14ac:dyDescent="0.3">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26.25" customHeight="1" x14ac:dyDescent="0.3">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26.25" customHeight="1" x14ac:dyDescent="0.3">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26.25" customHeight="1" x14ac:dyDescent="0.3">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26.25" customHeight="1" x14ac:dyDescent="0.3">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26.25" customHeight="1" x14ac:dyDescent="0.3">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26.25" customHeight="1" x14ac:dyDescent="0.3">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26.25" customHeight="1" x14ac:dyDescent="0.3">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26.25" customHeight="1" x14ac:dyDescent="0.3">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26.25" customHeight="1" x14ac:dyDescent="0.3">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26.25" customHeight="1" x14ac:dyDescent="0.3">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26.25" customHeight="1" x14ac:dyDescent="0.3">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26.25" customHeight="1" x14ac:dyDescent="0.3">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26.25" customHeight="1" x14ac:dyDescent="0.3">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26.25" customHeight="1" x14ac:dyDescent="0.3">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26.25" customHeight="1" x14ac:dyDescent="0.3">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26.25" customHeight="1" x14ac:dyDescent="0.3">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26.25" customHeight="1" x14ac:dyDescent="0.3">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26.25" customHeight="1" x14ac:dyDescent="0.3">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26.25" customHeight="1" x14ac:dyDescent="0.3">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26.25" customHeight="1" x14ac:dyDescent="0.3">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26.25" customHeight="1" x14ac:dyDescent="0.3">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26.25" customHeight="1" x14ac:dyDescent="0.3">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26.25" customHeight="1" x14ac:dyDescent="0.3">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26.25" customHeight="1" x14ac:dyDescent="0.3">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26.25" customHeight="1" x14ac:dyDescent="0.3">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26.25" customHeight="1" x14ac:dyDescent="0.3">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26.25" customHeight="1" x14ac:dyDescent="0.3">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26.25" customHeight="1" x14ac:dyDescent="0.3">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26.25" customHeight="1" x14ac:dyDescent="0.3">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26.25" customHeight="1" x14ac:dyDescent="0.3">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26.25" customHeight="1" x14ac:dyDescent="0.3">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26.25" customHeight="1" x14ac:dyDescent="0.3">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26.25" customHeight="1" x14ac:dyDescent="0.3">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26.25" customHeight="1" x14ac:dyDescent="0.3">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26.25" customHeight="1" x14ac:dyDescent="0.3">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26.25" customHeight="1" x14ac:dyDescent="0.3">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26.25" customHeight="1" x14ac:dyDescent="0.3">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26.25" customHeight="1" x14ac:dyDescent="0.3">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26.25" customHeight="1" x14ac:dyDescent="0.3">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26.25" customHeight="1" x14ac:dyDescent="0.3">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26.25" customHeight="1" x14ac:dyDescent="0.3">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26.25" customHeight="1" x14ac:dyDescent="0.3">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26.25" customHeight="1" x14ac:dyDescent="0.3">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26.25" customHeight="1" x14ac:dyDescent="0.3">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26.25" customHeight="1" x14ac:dyDescent="0.3">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26.25" customHeight="1" x14ac:dyDescent="0.3">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26.25" customHeight="1" x14ac:dyDescent="0.3">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26.25" customHeight="1" x14ac:dyDescent="0.3">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26.25" customHeight="1" x14ac:dyDescent="0.3">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26.25" customHeight="1" x14ac:dyDescent="0.3">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26.25" customHeight="1" x14ac:dyDescent="0.3">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26.25" customHeight="1" x14ac:dyDescent="0.3">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26.25" customHeight="1" x14ac:dyDescent="0.3">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26.25" customHeight="1" x14ac:dyDescent="0.3">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26.25" customHeight="1" x14ac:dyDescent="0.3">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26.25" customHeight="1" x14ac:dyDescent="0.3">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26.25" customHeight="1" x14ac:dyDescent="0.3">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26.25" customHeight="1" x14ac:dyDescent="0.3">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26.25" customHeight="1" x14ac:dyDescent="0.3">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sheetData>
  <mergeCells count="7">
    <mergeCell ref="I1:M1"/>
    <mergeCell ref="A3:A8"/>
    <mergeCell ref="A14:A18"/>
    <mergeCell ref="A9:A13"/>
    <mergeCell ref="A1:A2"/>
    <mergeCell ref="B1:B2"/>
    <mergeCell ref="C1:H1"/>
  </mergeCells>
  <conditionalFormatting sqref="B6:B7">
    <cfRule type="cellIs" dxfId="32" priority="1" operator="lessThan">
      <formula>0</formula>
    </cfRule>
  </conditionalFormatting>
  <conditionalFormatting sqref="B1:C1 I1:K1 A1:A2 L1:M2 H2 D3:F7 N8:N18 B14:M17 O14:P17">
    <cfRule type="cellIs" dxfId="31" priority="2" operator="lessThan">
      <formula>0</formula>
    </cfRule>
  </conditionalFormatting>
  <pageMargins left="0.7" right="0.7" top="0.78740157499999996" bottom="0.78740157499999996"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7697A"/>
  </sheetPr>
  <dimension ref="A1:AA1000"/>
  <sheetViews>
    <sheetView workbookViewId="0"/>
  </sheetViews>
  <sheetFormatPr baseColWidth="10" defaultColWidth="14.5" defaultRowHeight="15" customHeight="1" x14ac:dyDescent="0.2"/>
  <cols>
    <col min="1" max="1" width="15.83203125" customWidth="1"/>
    <col min="2" max="2" width="58.5" customWidth="1"/>
    <col min="3" max="29" width="8.83203125" customWidth="1"/>
  </cols>
  <sheetData>
    <row r="1" spans="1:27" ht="14.25" customHeight="1" x14ac:dyDescent="0.2"/>
    <row r="2" spans="1:27" ht="14.25" customHeight="1" x14ac:dyDescent="0.2"/>
    <row r="3" spans="1:27" ht="14.25" customHeight="1" x14ac:dyDescent="0.2"/>
    <row r="4" spans="1:27" ht="14.25" customHeight="1" x14ac:dyDescent="0.2"/>
    <row r="5" spans="1:27" ht="14.25" customHeight="1" x14ac:dyDescent="0.2"/>
    <row r="6" spans="1:27" ht="14.25" customHeight="1" x14ac:dyDescent="0.2"/>
    <row r="7" spans="1:27" ht="14.25" customHeight="1" x14ac:dyDescent="0.2"/>
    <row r="8" spans="1:27" ht="14.25" customHeight="1" x14ac:dyDescent="0.2">
      <c r="A8" s="12"/>
      <c r="B8" s="13"/>
      <c r="C8" s="13"/>
      <c r="D8" s="13"/>
      <c r="E8" s="13"/>
      <c r="F8" s="13"/>
      <c r="G8" s="13"/>
      <c r="H8" s="13"/>
      <c r="I8" s="13"/>
      <c r="J8" s="13"/>
      <c r="K8" s="13"/>
    </row>
    <row r="9" spans="1:27" ht="14.25" customHeight="1" x14ac:dyDescent="0.2">
      <c r="A9" s="13"/>
      <c r="B9" s="13"/>
      <c r="C9" s="13"/>
      <c r="D9" s="13"/>
      <c r="E9" s="13"/>
      <c r="F9" s="13"/>
      <c r="G9" s="13"/>
      <c r="H9" s="13"/>
      <c r="I9" s="13"/>
      <c r="J9" s="13"/>
      <c r="K9" s="13"/>
    </row>
    <row r="10" spans="1:27" ht="27.75" customHeight="1" x14ac:dyDescent="0.2"/>
    <row r="11" spans="1:27" ht="27.75" customHeight="1" x14ac:dyDescent="0.2">
      <c r="A11" s="603" t="s">
        <v>53</v>
      </c>
      <c r="B11" s="604"/>
      <c r="I11" s="14"/>
      <c r="J11" s="14"/>
      <c r="K11" s="14"/>
      <c r="L11" s="14"/>
      <c r="M11" s="14"/>
      <c r="N11" s="14"/>
      <c r="O11" s="14"/>
      <c r="P11" s="14"/>
      <c r="Q11" s="14"/>
      <c r="R11" s="14"/>
      <c r="S11" s="14"/>
      <c r="T11" s="14"/>
      <c r="U11" s="14"/>
      <c r="V11" s="14"/>
      <c r="W11" s="14"/>
      <c r="X11" s="14"/>
      <c r="Y11" s="14"/>
      <c r="Z11" s="14"/>
      <c r="AA11" s="14"/>
    </row>
    <row r="12" spans="1:27" ht="27.75" customHeight="1" x14ac:dyDescent="0.25">
      <c r="A12" s="15" t="s">
        <v>54</v>
      </c>
      <c r="B12" s="16" t="s">
        <v>55</v>
      </c>
      <c r="I12" s="14"/>
      <c r="J12" s="14"/>
      <c r="K12" s="14"/>
      <c r="L12" s="14"/>
      <c r="M12" s="14"/>
      <c r="N12" s="14"/>
      <c r="O12" s="14"/>
      <c r="P12" s="14"/>
      <c r="Q12" s="14"/>
      <c r="R12" s="14"/>
      <c r="S12" s="14"/>
      <c r="T12" s="14"/>
      <c r="U12" s="14"/>
      <c r="V12" s="14"/>
      <c r="W12" s="14"/>
      <c r="X12" s="14"/>
      <c r="Y12" s="14"/>
      <c r="Z12" s="14"/>
      <c r="AA12" s="14"/>
    </row>
    <row r="13" spans="1:27" ht="27.75" customHeight="1" x14ac:dyDescent="0.25">
      <c r="A13" s="17" t="s">
        <v>56</v>
      </c>
      <c r="B13" s="18" t="s">
        <v>57</v>
      </c>
      <c r="I13" s="14"/>
      <c r="J13" s="14"/>
      <c r="K13" s="14"/>
      <c r="L13" s="14"/>
      <c r="M13" s="14"/>
      <c r="N13" s="14"/>
      <c r="O13" s="14"/>
      <c r="P13" s="14"/>
      <c r="Q13" s="14"/>
      <c r="R13" s="14"/>
      <c r="S13" s="14"/>
      <c r="T13" s="14"/>
      <c r="U13" s="14"/>
      <c r="V13" s="14"/>
      <c r="W13" s="14"/>
      <c r="X13" s="14"/>
      <c r="Y13" s="14"/>
      <c r="Z13" s="14"/>
      <c r="AA13" s="14"/>
    </row>
    <row r="14" spans="1:27" ht="27.75" customHeight="1" x14ac:dyDescent="0.25">
      <c r="A14" s="19" t="s">
        <v>58</v>
      </c>
      <c r="B14" s="20" t="s">
        <v>23</v>
      </c>
      <c r="I14" s="14"/>
      <c r="J14" s="14"/>
      <c r="K14" s="14"/>
      <c r="L14" s="14"/>
      <c r="M14" s="14"/>
      <c r="N14" s="14"/>
      <c r="O14" s="14"/>
      <c r="P14" s="14"/>
      <c r="Q14" s="14"/>
      <c r="R14" s="14"/>
      <c r="S14" s="14"/>
      <c r="T14" s="14"/>
      <c r="U14" s="14"/>
      <c r="V14" s="14"/>
      <c r="W14" s="14"/>
      <c r="X14" s="14"/>
      <c r="Y14" s="14"/>
      <c r="Z14" s="14"/>
      <c r="AA14" s="14"/>
    </row>
    <row r="15" spans="1:27" ht="27.75" customHeight="1" x14ac:dyDescent="0.25">
      <c r="A15" s="21"/>
      <c r="B15" s="22"/>
      <c r="I15" s="23"/>
      <c r="J15" s="23"/>
      <c r="K15" s="23"/>
      <c r="L15" s="23"/>
      <c r="M15" s="23"/>
      <c r="N15" s="23"/>
      <c r="O15" s="23"/>
      <c r="P15" s="23"/>
      <c r="Q15" s="23"/>
      <c r="R15" s="23"/>
      <c r="S15" s="23"/>
      <c r="T15" s="23"/>
      <c r="U15" s="23"/>
      <c r="V15" s="23"/>
      <c r="W15" s="23"/>
      <c r="X15" s="23"/>
      <c r="Y15" s="23"/>
      <c r="Z15" s="23"/>
      <c r="AA15" s="23"/>
    </row>
    <row r="16" spans="1:27" ht="27.75" customHeight="1" x14ac:dyDescent="0.3">
      <c r="A16" s="24" t="s">
        <v>59</v>
      </c>
      <c r="B16" s="25" t="s">
        <v>60</v>
      </c>
      <c r="I16" s="26"/>
      <c r="J16" s="27"/>
      <c r="K16" s="27"/>
      <c r="L16" s="27"/>
      <c r="M16" s="27"/>
      <c r="N16" s="27"/>
      <c r="O16" s="27"/>
      <c r="P16" s="27"/>
      <c r="Q16" s="27"/>
      <c r="R16" s="27"/>
      <c r="S16" s="27"/>
      <c r="T16" s="28"/>
      <c r="U16" s="28"/>
      <c r="V16" s="28"/>
      <c r="W16" s="28"/>
      <c r="X16" s="28"/>
      <c r="Y16" s="28"/>
      <c r="Z16" s="28"/>
      <c r="AA16" s="28"/>
    </row>
    <row r="17" spans="1:27" ht="27.75" customHeight="1" x14ac:dyDescent="0.3">
      <c r="A17" s="29" t="s">
        <v>61</v>
      </c>
      <c r="B17" s="30" t="s">
        <v>62</v>
      </c>
      <c r="I17" s="26"/>
      <c r="J17" s="27"/>
      <c r="K17" s="27"/>
      <c r="L17" s="27"/>
      <c r="M17" s="27"/>
      <c r="N17" s="27"/>
      <c r="O17" s="27"/>
      <c r="P17" s="27"/>
      <c r="Q17" s="27"/>
      <c r="R17" s="27"/>
      <c r="S17" s="27"/>
      <c r="T17" s="28"/>
      <c r="U17" s="28"/>
      <c r="V17" s="28"/>
      <c r="W17" s="28"/>
      <c r="X17" s="28"/>
      <c r="Y17" s="28"/>
      <c r="Z17" s="28"/>
      <c r="AA17" s="28"/>
    </row>
    <row r="18" spans="1:27" ht="27.75" customHeight="1" x14ac:dyDescent="0.3">
      <c r="A18" s="29" t="s">
        <v>63</v>
      </c>
      <c r="B18" s="30" t="s">
        <v>64</v>
      </c>
      <c r="I18" s="26"/>
      <c r="J18" s="27"/>
      <c r="K18" s="27"/>
      <c r="L18" s="27"/>
      <c r="M18" s="27"/>
      <c r="N18" s="27"/>
      <c r="O18" s="27"/>
      <c r="P18" s="27"/>
      <c r="Q18" s="27"/>
      <c r="R18" s="27"/>
      <c r="S18" s="27"/>
      <c r="T18" s="28"/>
      <c r="U18" s="28"/>
      <c r="V18" s="28"/>
      <c r="W18" s="28"/>
      <c r="X18" s="28"/>
      <c r="Y18" s="28"/>
      <c r="Z18" s="28"/>
      <c r="AA18" s="28"/>
    </row>
    <row r="19" spans="1:27" ht="27.75" customHeight="1" x14ac:dyDescent="0.25">
      <c r="A19" s="29" t="s">
        <v>65</v>
      </c>
      <c r="B19" s="30" t="s">
        <v>65</v>
      </c>
    </row>
    <row r="20" spans="1:27" ht="27.75" customHeight="1" x14ac:dyDescent="0.25">
      <c r="A20" s="31" t="s">
        <v>66</v>
      </c>
      <c r="B20" s="32" t="s">
        <v>67</v>
      </c>
    </row>
    <row r="21" spans="1:27" ht="27.75" customHeight="1" x14ac:dyDescent="0.25">
      <c r="A21" s="21"/>
      <c r="B21" s="22"/>
    </row>
    <row r="22" spans="1:27" ht="27.75" customHeight="1" x14ac:dyDescent="0.25">
      <c r="A22" s="33" t="s">
        <v>68</v>
      </c>
      <c r="B22" s="34" t="s">
        <v>69</v>
      </c>
    </row>
    <row r="23" spans="1:27" ht="27.75" customHeight="1" x14ac:dyDescent="0.25">
      <c r="A23" s="35" t="s">
        <v>70</v>
      </c>
      <c r="B23" s="36" t="s">
        <v>71</v>
      </c>
    </row>
    <row r="24" spans="1:27" ht="27.75" customHeight="1" x14ac:dyDescent="0.25">
      <c r="A24" s="37" t="s">
        <v>72</v>
      </c>
      <c r="B24" s="38" t="s">
        <v>73</v>
      </c>
    </row>
    <row r="25" spans="1:27" ht="27.75" customHeight="1" x14ac:dyDescent="0.25">
      <c r="A25" s="21"/>
      <c r="B25" s="22"/>
    </row>
    <row r="26" spans="1:27" ht="27.75" customHeight="1" x14ac:dyDescent="0.25">
      <c r="A26" s="39" t="s">
        <v>74</v>
      </c>
      <c r="B26" s="40" t="s">
        <v>75</v>
      </c>
    </row>
    <row r="27" spans="1:27" ht="27.75" customHeight="1" x14ac:dyDescent="0.25">
      <c r="A27" s="41" t="s">
        <v>76</v>
      </c>
      <c r="B27" s="42" t="s">
        <v>77</v>
      </c>
    </row>
    <row r="28" spans="1:27" ht="27.75" customHeight="1" x14ac:dyDescent="0.25">
      <c r="A28" s="43" t="s">
        <v>78</v>
      </c>
      <c r="B28" s="44" t="s">
        <v>79</v>
      </c>
    </row>
    <row r="29" spans="1:27" ht="27.75" customHeight="1" x14ac:dyDescent="0.25">
      <c r="A29" s="45" t="s">
        <v>80</v>
      </c>
      <c r="B29" s="46" t="s">
        <v>81</v>
      </c>
    </row>
    <row r="30" spans="1:27" ht="27.75" customHeight="1" x14ac:dyDescent="0.25">
      <c r="A30" s="47" t="s">
        <v>82</v>
      </c>
      <c r="B30" s="48" t="s">
        <v>45</v>
      </c>
    </row>
    <row r="31" spans="1:27" ht="27.75" customHeight="1" x14ac:dyDescent="0.25">
      <c r="A31" s="49" t="s">
        <v>83</v>
      </c>
      <c r="B31" s="50" t="s">
        <v>84</v>
      </c>
    </row>
    <row r="32" spans="1:27" ht="27.75" customHeight="1" x14ac:dyDescent="0.25">
      <c r="A32" s="51" t="s">
        <v>85</v>
      </c>
      <c r="B32" s="52" t="s">
        <v>86</v>
      </c>
    </row>
    <row r="33" spans="1:2" ht="27.75" customHeight="1" x14ac:dyDescent="0.25">
      <c r="A33" s="53" t="s">
        <v>87</v>
      </c>
      <c r="B33" s="54" t="s">
        <v>88</v>
      </c>
    </row>
    <row r="34" spans="1:2" ht="27.75" customHeight="1" x14ac:dyDescent="0.3">
      <c r="B34" s="28"/>
    </row>
    <row r="35" spans="1:2" ht="27.75" customHeight="1" x14ac:dyDescent="0.2"/>
    <row r="36" spans="1:2" ht="27.75" customHeight="1" x14ac:dyDescent="0.2"/>
    <row r="37" spans="1:2" ht="27.75" customHeight="1" x14ac:dyDescent="0.2"/>
    <row r="38" spans="1:2" ht="14.25" customHeight="1" x14ac:dyDescent="0.2"/>
    <row r="39" spans="1:2" ht="14.25" customHeight="1" x14ac:dyDescent="0.2"/>
    <row r="40" spans="1:2" ht="14.25" customHeight="1" x14ac:dyDescent="0.2"/>
    <row r="41" spans="1:2" ht="14.25" customHeight="1" x14ac:dyDescent="0.2"/>
    <row r="42" spans="1:2" ht="14.25" customHeight="1" x14ac:dyDescent="0.2"/>
    <row r="43" spans="1:2" ht="14.25" customHeight="1" x14ac:dyDescent="0.2"/>
    <row r="44" spans="1:2" ht="14.25" customHeight="1" x14ac:dyDescent="0.2"/>
    <row r="45" spans="1:2" ht="14.25" customHeight="1" x14ac:dyDescent="0.2"/>
    <row r="46" spans="1:2" ht="14.25" customHeight="1" x14ac:dyDescent="0.2"/>
    <row r="47" spans="1:2" ht="14.25" customHeight="1" x14ac:dyDescent="0.2"/>
    <row r="48" spans="1:2"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1:B11"/>
  </mergeCell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DECEE"/>
  </sheetPr>
  <dimension ref="A1:Z997"/>
  <sheetViews>
    <sheetView zoomScale="47" zoomScaleNormal="46" workbookViewId="0">
      <pane xSplit="1" ySplit="2" topLeftCell="B3" activePane="bottomRight" state="frozen"/>
      <selection pane="topRight" activeCell="B1" sqref="B1"/>
      <selection pane="bottomLeft" activeCell="A3" sqref="A3"/>
      <selection pane="bottomRight" activeCell="E23" sqref="E23"/>
    </sheetView>
  </sheetViews>
  <sheetFormatPr baseColWidth="10" defaultColWidth="14.5" defaultRowHeight="15" customHeight="1" x14ac:dyDescent="0.2"/>
  <cols>
    <col min="1" max="1" width="64.6640625" customWidth="1"/>
    <col min="2" max="2" width="45.1640625" customWidth="1"/>
    <col min="3" max="3" width="25.83203125" customWidth="1"/>
    <col min="4" max="4" width="20.5" customWidth="1"/>
    <col min="5" max="13" width="25.83203125" customWidth="1"/>
    <col min="14" max="15" width="23.1640625" customWidth="1"/>
    <col min="16" max="16" width="24.5" customWidth="1"/>
    <col min="17" max="17" width="31.1640625" customWidth="1"/>
  </cols>
  <sheetData>
    <row r="1" spans="1:26" ht="27.75" customHeight="1" x14ac:dyDescent="0.25">
      <c r="A1" s="606" t="s">
        <v>459</v>
      </c>
      <c r="B1" s="608" t="s">
        <v>460</v>
      </c>
      <c r="C1" s="609" t="s">
        <v>379</v>
      </c>
      <c r="D1" s="610"/>
      <c r="E1" s="610"/>
      <c r="F1" s="610"/>
      <c r="G1" s="610"/>
      <c r="H1" s="611"/>
      <c r="I1" s="612" t="s">
        <v>503</v>
      </c>
      <c r="J1" s="610"/>
      <c r="K1" s="610"/>
      <c r="L1" s="610"/>
      <c r="M1" s="611"/>
      <c r="U1" s="417"/>
    </row>
    <row r="2" spans="1:26" ht="27.75" customHeight="1" x14ac:dyDescent="0.25">
      <c r="A2" s="607"/>
      <c r="B2" s="623"/>
      <c r="C2" s="129" t="s">
        <v>381</v>
      </c>
      <c r="D2" s="130" t="s">
        <v>504</v>
      </c>
      <c r="E2" s="131" t="s">
        <v>505</v>
      </c>
      <c r="F2" s="132" t="s">
        <v>384</v>
      </c>
      <c r="G2" s="133" t="s">
        <v>456</v>
      </c>
      <c r="H2" s="134" t="s">
        <v>386</v>
      </c>
      <c r="I2" s="135" t="s">
        <v>381</v>
      </c>
      <c r="J2" s="136" t="s">
        <v>384</v>
      </c>
      <c r="K2" s="137" t="s">
        <v>456</v>
      </c>
      <c r="L2" s="138" t="s">
        <v>386</v>
      </c>
      <c r="M2" s="139" t="s">
        <v>457</v>
      </c>
      <c r="Z2" s="417"/>
    </row>
    <row r="3" spans="1:26" ht="27.75" customHeight="1" x14ac:dyDescent="0.3">
      <c r="A3" s="676" t="s">
        <v>619</v>
      </c>
      <c r="B3" s="145" t="s">
        <v>529</v>
      </c>
      <c r="C3" s="194">
        <v>50</v>
      </c>
      <c r="D3" s="143">
        <v>0</v>
      </c>
      <c r="E3" s="194">
        <v>0</v>
      </c>
      <c r="F3" s="194">
        <v>0</v>
      </c>
      <c r="G3" s="194">
        <v>0</v>
      </c>
      <c r="H3" s="228">
        <f t="shared" ref="H3:H5" si="0">G3+F3-C3</f>
        <v>-50</v>
      </c>
      <c r="I3" s="194">
        <f>SUMIFS('Cashbook ING'!$B:$B, 'Cashbook ING'!$A:$A, "SP_Foosball_Snacks")</f>
        <v>-49.81</v>
      </c>
      <c r="J3" s="194">
        <f>SUMIFS('Cashbook Wix'!$B$2:$B$7106,'Cashbook Wix'!$A$2:$A$7106,"SP_")</f>
        <v>0</v>
      </c>
      <c r="K3" s="194">
        <v>0</v>
      </c>
      <c r="L3" s="145">
        <f t="shared" ref="L3:L5" si="1">K3+J3+I3</f>
        <v>-49.81</v>
      </c>
      <c r="M3" s="145">
        <f t="shared" ref="M3:M5" si="2">L3-H3</f>
        <v>0.18999999999999773</v>
      </c>
      <c r="R3" s="112"/>
      <c r="S3" s="112"/>
      <c r="T3" s="112"/>
      <c r="U3" s="112"/>
      <c r="V3" s="112"/>
      <c r="W3" s="112"/>
      <c r="X3" s="112"/>
      <c r="Y3" s="112"/>
      <c r="Z3" s="112"/>
    </row>
    <row r="4" spans="1:26" ht="27.75" customHeight="1" x14ac:dyDescent="0.3">
      <c r="A4" s="620"/>
      <c r="B4" s="145" t="s">
        <v>537</v>
      </c>
      <c r="C4" s="194">
        <v>10</v>
      </c>
      <c r="D4" s="143">
        <v>0</v>
      </c>
      <c r="E4" s="194">
        <v>0</v>
      </c>
      <c r="F4" s="194">
        <v>0</v>
      </c>
      <c r="G4" s="194">
        <v>0</v>
      </c>
      <c r="H4" s="228">
        <f t="shared" si="0"/>
        <v>-10</v>
      </c>
      <c r="I4" s="194">
        <f>SUMIFS('Cashbook ING'!$B:$B, 'Cashbook ING'!$A:$A, "SP_")</f>
        <v>0</v>
      </c>
      <c r="J4" s="194">
        <f>SUMIFS('Cashbook Wix'!$B$2:$B$7106,'Cashbook Wix'!$A$2:$A$7106,"SP_")</f>
        <v>0</v>
      </c>
      <c r="K4" s="194">
        <v>0</v>
      </c>
      <c r="L4" s="145">
        <f t="shared" si="1"/>
        <v>0</v>
      </c>
      <c r="M4" s="145">
        <f t="shared" si="2"/>
        <v>10</v>
      </c>
      <c r="R4" s="112"/>
      <c r="S4" s="112"/>
      <c r="T4" s="112"/>
      <c r="U4" s="112"/>
      <c r="V4" s="112"/>
      <c r="W4" s="112"/>
      <c r="X4" s="112"/>
      <c r="Y4" s="112"/>
      <c r="Z4" s="112"/>
    </row>
    <row r="5" spans="1:26" ht="27.75" customHeight="1" x14ac:dyDescent="0.3">
      <c r="A5" s="620"/>
      <c r="B5" s="145" t="s">
        <v>509</v>
      </c>
      <c r="C5" s="194">
        <v>0</v>
      </c>
      <c r="D5" s="143">
        <v>32</v>
      </c>
      <c r="E5" s="194">
        <v>0</v>
      </c>
      <c r="F5" s="194">
        <f>E5*D5</f>
        <v>0</v>
      </c>
      <c r="G5" s="194">
        <v>0</v>
      </c>
      <c r="H5" s="228">
        <f t="shared" si="0"/>
        <v>0</v>
      </c>
      <c r="I5" s="194">
        <v>0</v>
      </c>
      <c r="J5" s="194">
        <f>SUMIFS('Cashbook Wix'!$B$2:$B$7106,'Cashbook Wix'!$A$2:$A$7106,"SP_")</f>
        <v>0</v>
      </c>
      <c r="K5" s="194">
        <v>0</v>
      </c>
      <c r="L5" s="145">
        <f t="shared" si="1"/>
        <v>0</v>
      </c>
      <c r="M5" s="145">
        <f t="shared" si="2"/>
        <v>0</v>
      </c>
      <c r="R5" s="112"/>
      <c r="S5" s="112"/>
      <c r="T5" s="112"/>
      <c r="U5" s="112"/>
      <c r="V5" s="112"/>
      <c r="W5" s="112"/>
      <c r="X5" s="112"/>
      <c r="Y5" s="112"/>
      <c r="Z5" s="112"/>
    </row>
    <row r="6" spans="1:26" ht="27.75" customHeight="1" x14ac:dyDescent="0.3">
      <c r="A6" s="621"/>
      <c r="B6" s="232" t="s">
        <v>620</v>
      </c>
      <c r="C6" s="235">
        <f t="shared" ref="C6:D6" si="3">SUM(C3:C5)</f>
        <v>60</v>
      </c>
      <c r="D6" s="234">
        <f t="shared" si="3"/>
        <v>32</v>
      </c>
      <c r="E6" s="235">
        <v>0</v>
      </c>
      <c r="F6" s="235">
        <f t="shared" ref="F6:M6" si="4">SUM(F3:F5)</f>
        <v>0</v>
      </c>
      <c r="G6" s="235">
        <f t="shared" si="4"/>
        <v>0</v>
      </c>
      <c r="H6" s="232">
        <f t="shared" si="4"/>
        <v>-60</v>
      </c>
      <c r="I6" s="235">
        <f t="shared" si="4"/>
        <v>-49.81</v>
      </c>
      <c r="J6" s="235">
        <f t="shared" si="4"/>
        <v>0</v>
      </c>
      <c r="K6" s="235">
        <f t="shared" si="4"/>
        <v>0</v>
      </c>
      <c r="L6" s="232">
        <f t="shared" si="4"/>
        <v>-49.81</v>
      </c>
      <c r="M6" s="232">
        <f t="shared" si="4"/>
        <v>10.189999999999998</v>
      </c>
      <c r="R6" s="112"/>
      <c r="S6" s="112"/>
      <c r="T6" s="112"/>
      <c r="U6" s="112"/>
      <c r="V6" s="112"/>
      <c r="W6" s="112"/>
      <c r="X6" s="112"/>
      <c r="Y6" s="112"/>
      <c r="Z6" s="112"/>
    </row>
    <row r="7" spans="1:26" ht="27.75" customHeight="1" x14ac:dyDescent="0.3">
      <c r="A7" s="669" t="s">
        <v>621</v>
      </c>
      <c r="B7" s="238" t="s">
        <v>516</v>
      </c>
      <c r="C7" s="239">
        <v>50</v>
      </c>
      <c r="D7" s="247">
        <v>0</v>
      </c>
      <c r="E7" s="241">
        <v>0</v>
      </c>
      <c r="F7" s="241">
        <v>0</v>
      </c>
      <c r="G7" s="241">
        <v>0</v>
      </c>
      <c r="H7" s="242">
        <f t="shared" ref="H7:H9" si="5">G7+F7-C7</f>
        <v>-50</v>
      </c>
      <c r="I7" s="241">
        <f>SUMIFS('Cashbook ING'!$B:$B, 'Cashbook ING'!$A:$A, "SP_")</f>
        <v>0</v>
      </c>
      <c r="J7" s="241">
        <f>SUMIFS('Cashbook Wix'!$B$2:$B$7106,'Cashbook Wix'!$A$2:$A$7106,"SP_")</f>
        <v>0</v>
      </c>
      <c r="K7" s="241">
        <v>0</v>
      </c>
      <c r="L7" s="243">
        <f t="shared" ref="L7:L9" si="6">K7+J7+I7</f>
        <v>0</v>
      </c>
      <c r="M7" s="243">
        <f t="shared" ref="M7:M9" si="7">L7-H7</f>
        <v>50</v>
      </c>
      <c r="R7" s="112"/>
      <c r="S7" s="112"/>
      <c r="T7" s="112"/>
      <c r="U7" s="112"/>
      <c r="V7" s="112"/>
      <c r="W7" s="112"/>
      <c r="X7" s="112"/>
      <c r="Y7" s="112"/>
      <c r="Z7" s="112"/>
    </row>
    <row r="8" spans="1:26" ht="27.75" customHeight="1" x14ac:dyDescent="0.3">
      <c r="A8" s="620"/>
      <c r="B8" s="245" t="s">
        <v>509</v>
      </c>
      <c r="C8" s="193">
        <v>0</v>
      </c>
      <c r="D8" s="143">
        <v>15</v>
      </c>
      <c r="E8" s="194">
        <v>2</v>
      </c>
      <c r="F8" s="194">
        <f t="shared" ref="F8:F9" si="8">E8*D8</f>
        <v>30</v>
      </c>
      <c r="G8" s="194">
        <v>0</v>
      </c>
      <c r="H8" s="228">
        <f t="shared" si="5"/>
        <v>30</v>
      </c>
      <c r="I8" s="194">
        <f>SUMIFS('Cashbook ING'!$B:$B, 'Cashbook ING'!$A:$A, "SP_")</f>
        <v>0</v>
      </c>
      <c r="J8" s="194">
        <f>SUMIFS('Cashbook Wix'!$B$2:$B$7106,'Cashbook Wix'!$A$2:$A$7106,"SP_")</f>
        <v>0</v>
      </c>
      <c r="K8" s="194">
        <v>0</v>
      </c>
      <c r="L8" s="145">
        <f t="shared" si="6"/>
        <v>0</v>
      </c>
      <c r="M8" s="145">
        <f t="shared" si="7"/>
        <v>-30</v>
      </c>
      <c r="R8" s="112"/>
      <c r="S8" s="112"/>
      <c r="T8" s="112"/>
      <c r="U8" s="112"/>
      <c r="V8" s="112"/>
      <c r="W8" s="112"/>
      <c r="X8" s="112"/>
      <c r="Y8" s="112"/>
      <c r="Z8" s="112"/>
    </row>
    <row r="9" spans="1:26" ht="27.75" customHeight="1" x14ac:dyDescent="0.3">
      <c r="A9" s="620"/>
      <c r="B9" s="145" t="s">
        <v>510</v>
      </c>
      <c r="C9" s="194">
        <v>0</v>
      </c>
      <c r="D9" s="143">
        <v>5</v>
      </c>
      <c r="E9" s="194">
        <v>4</v>
      </c>
      <c r="F9" s="194">
        <f t="shared" si="8"/>
        <v>20</v>
      </c>
      <c r="G9" s="194">
        <v>0</v>
      </c>
      <c r="H9" s="228">
        <f t="shared" si="5"/>
        <v>20</v>
      </c>
      <c r="I9" s="194">
        <f>SUMIFS('Cashbook ING'!$B:$B, 'Cashbook ING'!$A:$A, "SP_")</f>
        <v>0</v>
      </c>
      <c r="J9" s="194">
        <f>SUMIFS('Cashbook Wix'!$B$2:$B$7106,'Cashbook Wix'!$A$2:$A$7106,"SP_")</f>
        <v>0</v>
      </c>
      <c r="K9" s="194">
        <v>0</v>
      </c>
      <c r="L9" s="145">
        <f t="shared" si="6"/>
        <v>0</v>
      </c>
      <c r="M9" s="145">
        <f t="shared" si="7"/>
        <v>-20</v>
      </c>
      <c r="U9" s="417"/>
    </row>
    <row r="10" spans="1:26" ht="27.75" customHeight="1" x14ac:dyDescent="0.3">
      <c r="A10" s="621"/>
      <c r="B10" s="232" t="s">
        <v>620</v>
      </c>
      <c r="C10" s="235">
        <f t="shared" ref="C10:D10" si="9">SUM(C7:C9)</f>
        <v>50</v>
      </c>
      <c r="D10" s="234">
        <f t="shared" si="9"/>
        <v>20</v>
      </c>
      <c r="E10" s="235">
        <v>0</v>
      </c>
      <c r="F10" s="235">
        <f t="shared" ref="F10:M10" si="10">SUM(F7:F9)</f>
        <v>50</v>
      </c>
      <c r="G10" s="235">
        <f t="shared" si="10"/>
        <v>0</v>
      </c>
      <c r="H10" s="232">
        <f t="shared" si="10"/>
        <v>0</v>
      </c>
      <c r="I10" s="235">
        <f t="shared" si="10"/>
        <v>0</v>
      </c>
      <c r="J10" s="235">
        <f t="shared" si="10"/>
        <v>0</v>
      </c>
      <c r="K10" s="235">
        <f t="shared" si="10"/>
        <v>0</v>
      </c>
      <c r="L10" s="232">
        <f t="shared" si="10"/>
        <v>0</v>
      </c>
      <c r="M10" s="232">
        <f t="shared" si="10"/>
        <v>0</v>
      </c>
      <c r="U10" s="417"/>
    </row>
    <row r="11" spans="1:26" ht="27.5" customHeight="1" x14ac:dyDescent="0.3">
      <c r="A11" s="670" t="s">
        <v>622</v>
      </c>
      <c r="B11" s="238" t="s">
        <v>623</v>
      </c>
      <c r="C11" s="277">
        <v>355</v>
      </c>
      <c r="D11" s="342">
        <v>0</v>
      </c>
      <c r="E11" s="277">
        <v>0</v>
      </c>
      <c r="F11" s="277">
        <v>0</v>
      </c>
      <c r="G11" s="226">
        <v>300</v>
      </c>
      <c r="H11" s="242">
        <f t="shared" ref="H11:H13" si="11">G11+F11-C11</f>
        <v>-55</v>
      </c>
      <c r="I11" s="226">
        <f>SUMIFS('Cashbook ING'!$B:$B, 'Cashbook ING'!$A:$A, "SP_IceSkating_Rental")</f>
        <v>-355</v>
      </c>
      <c r="J11" s="226">
        <f>SUMIFS('Cashbook Wix'!$B$2:$B$7106,'Cashbook Wix'!$A$2:$A$7106,"SP_IceSkating_")</f>
        <v>0</v>
      </c>
      <c r="K11" s="226">
        <v>0</v>
      </c>
      <c r="L11" s="343">
        <f t="shared" ref="L11:L13" si="12">K11+J11+I11</f>
        <v>-355</v>
      </c>
      <c r="M11" s="243">
        <f t="shared" ref="M11:M13" si="13">L11-H11</f>
        <v>-300</v>
      </c>
      <c r="Z11" s="417"/>
    </row>
    <row r="12" spans="1:26" ht="27.75" customHeight="1" x14ac:dyDescent="0.3">
      <c r="A12" s="620"/>
      <c r="B12" s="245" t="s">
        <v>509</v>
      </c>
      <c r="C12" s="193">
        <v>0</v>
      </c>
      <c r="D12" s="160">
        <v>45</v>
      </c>
      <c r="E12" s="193">
        <v>3</v>
      </c>
      <c r="F12" s="193">
        <f t="shared" ref="F12:F13" si="14">D12*E12</f>
        <v>135</v>
      </c>
      <c r="G12" s="194">
        <v>0</v>
      </c>
      <c r="H12" s="228">
        <f t="shared" si="11"/>
        <v>135</v>
      </c>
      <c r="I12" s="194">
        <f>SUMIFS('Cashbook ING'!$B:$B, 'Cashbook ING'!$A:$A, "SP_IceSkating_Snacks")</f>
        <v>-20.95</v>
      </c>
      <c r="J12" s="194">
        <f>SUMIFS('Cashbook Wix'!$B$2:$B$7106,'Cashbook Wix'!$A$2:$A$7106,"SP_IceSkating_Member")</f>
        <v>82.53</v>
      </c>
      <c r="K12" s="194">
        <v>0</v>
      </c>
      <c r="L12" s="145">
        <f t="shared" si="12"/>
        <v>61.58</v>
      </c>
      <c r="M12" s="145">
        <f t="shared" si="13"/>
        <v>-73.42</v>
      </c>
      <c r="Z12" s="417"/>
    </row>
    <row r="13" spans="1:26" ht="27.75" customHeight="1" x14ac:dyDescent="0.3">
      <c r="A13" s="620"/>
      <c r="B13" s="245" t="s">
        <v>510</v>
      </c>
      <c r="C13" s="193">
        <v>0</v>
      </c>
      <c r="D13" s="160">
        <v>5</v>
      </c>
      <c r="E13" s="193">
        <v>5</v>
      </c>
      <c r="F13" s="193">
        <f t="shared" si="14"/>
        <v>25</v>
      </c>
      <c r="G13" s="194">
        <v>0</v>
      </c>
      <c r="H13" s="228">
        <f t="shared" si="11"/>
        <v>25</v>
      </c>
      <c r="I13" s="194">
        <f>SUMIFS('Cashbook ING'!$B:$B, 'Cashbook ING'!$A:$A, "SP_IceSkating_Hats")</f>
        <v>-26.8</v>
      </c>
      <c r="J13" s="194">
        <f>SUMIFS('Cashbook Wix'!$B$2:$B$7106,'Cashbook Wix'!$A$2:$A$7106,"SP_IceSkating_NonMember")</f>
        <v>18.400000000000002</v>
      </c>
      <c r="K13" s="194">
        <v>0</v>
      </c>
      <c r="L13" s="145">
        <f t="shared" si="12"/>
        <v>-8.3999999999999986</v>
      </c>
      <c r="M13" s="145">
        <f t="shared" si="13"/>
        <v>-33.4</v>
      </c>
      <c r="U13" s="417"/>
    </row>
    <row r="14" spans="1:26" ht="27.75" customHeight="1" x14ac:dyDescent="0.3">
      <c r="A14" s="621"/>
      <c r="B14" s="232" t="s">
        <v>511</v>
      </c>
      <c r="C14" s="235">
        <f>SUM(C11:C13)</f>
        <v>355</v>
      </c>
      <c r="D14" s="234">
        <f>SUM(D11:D13)</f>
        <v>50</v>
      </c>
      <c r="E14" s="235">
        <v>0</v>
      </c>
      <c r="F14" s="235">
        <f t="shared" ref="F14:M14" si="15">SUM(F11:F13)</f>
        <v>160</v>
      </c>
      <c r="G14" s="235">
        <f t="shared" si="15"/>
        <v>300</v>
      </c>
      <c r="H14" s="232">
        <f t="shared" si="15"/>
        <v>105</v>
      </c>
      <c r="I14" s="235">
        <f t="shared" si="15"/>
        <v>-402.75</v>
      </c>
      <c r="J14" s="235">
        <f t="shared" si="15"/>
        <v>100.93</v>
      </c>
      <c r="K14" s="235">
        <f t="shared" si="15"/>
        <v>0</v>
      </c>
      <c r="L14" s="232">
        <f t="shared" si="15"/>
        <v>-301.82</v>
      </c>
      <c r="M14" s="232">
        <f t="shared" si="15"/>
        <v>-406.82</v>
      </c>
      <c r="U14" s="417"/>
    </row>
    <row r="15" spans="1:26" ht="27.75" customHeight="1" x14ac:dyDescent="0.3">
      <c r="A15" s="669" t="s">
        <v>624</v>
      </c>
      <c r="B15" s="238" t="s">
        <v>516</v>
      </c>
      <c r="C15" s="239">
        <v>50</v>
      </c>
      <c r="D15" s="247">
        <v>0</v>
      </c>
      <c r="E15" s="241">
        <v>0</v>
      </c>
      <c r="F15" s="241">
        <v>0</v>
      </c>
      <c r="G15" s="241">
        <v>0</v>
      </c>
      <c r="H15" s="242">
        <f t="shared" ref="H15:H17" si="16">G15+F15-C15</f>
        <v>-50</v>
      </c>
      <c r="I15" s="241">
        <f>SUMIFS('Cashbook ING'!$B:$B, 'Cashbook ING'!$A:$A, "SP_Yoga_Rental")</f>
        <v>-21</v>
      </c>
      <c r="J15" s="241">
        <f>SUMIFS('Cashbook Wix'!$B$2:$B$7106,'Cashbook Wix'!$A$2:$A$7106,"SP_")</f>
        <v>0</v>
      </c>
      <c r="K15" s="241">
        <v>0</v>
      </c>
      <c r="L15" s="243">
        <f t="shared" ref="L15:L17" si="17">K15+J15+I15</f>
        <v>-21</v>
      </c>
      <c r="M15" s="243">
        <f t="shared" ref="M15:M17" si="18">L15-H15</f>
        <v>29</v>
      </c>
      <c r="U15" s="417"/>
    </row>
    <row r="16" spans="1:26" ht="27.75" customHeight="1" x14ac:dyDescent="0.3">
      <c r="A16" s="620"/>
      <c r="B16" s="245" t="s">
        <v>509</v>
      </c>
      <c r="C16" s="193">
        <v>0</v>
      </c>
      <c r="D16" s="143">
        <v>15</v>
      </c>
      <c r="E16" s="194">
        <v>2</v>
      </c>
      <c r="F16" s="194">
        <f t="shared" ref="F16:F17" si="19">E16*D16</f>
        <v>30</v>
      </c>
      <c r="G16" s="194">
        <v>0</v>
      </c>
      <c r="H16" s="228">
        <f t="shared" si="16"/>
        <v>30</v>
      </c>
      <c r="I16" s="194">
        <f>SUMIFS('Cashbook ING'!$B:$B, 'Cashbook ING'!$A:$A, "SP_")</f>
        <v>0</v>
      </c>
      <c r="J16" s="194">
        <f>SUMIFS('Cashbook Wix'!$B$2:$B$7106,'Cashbook Wix'!$A$2:$A$7106,"SP_Yoga_Member")</f>
        <v>27.7</v>
      </c>
      <c r="K16" s="194">
        <v>0</v>
      </c>
      <c r="L16" s="145">
        <f t="shared" si="17"/>
        <v>27.7</v>
      </c>
      <c r="M16" s="145">
        <f t="shared" si="18"/>
        <v>-2.3000000000000007</v>
      </c>
      <c r="U16" s="417"/>
    </row>
    <row r="17" spans="1:26" ht="27.75" customHeight="1" x14ac:dyDescent="0.3">
      <c r="A17" s="620"/>
      <c r="B17" s="145" t="s">
        <v>510</v>
      </c>
      <c r="C17" s="194">
        <v>0</v>
      </c>
      <c r="D17" s="143">
        <v>5</v>
      </c>
      <c r="E17" s="194">
        <v>4</v>
      </c>
      <c r="F17" s="194">
        <f t="shared" si="19"/>
        <v>20</v>
      </c>
      <c r="G17" s="194">
        <v>0</v>
      </c>
      <c r="H17" s="228">
        <f t="shared" si="16"/>
        <v>20</v>
      </c>
      <c r="I17" s="194">
        <f>SUMIFS('Cashbook ING'!$B:$B, 'Cashbook ING'!$A:$A, "SP_")</f>
        <v>0</v>
      </c>
      <c r="J17" s="194">
        <f>SUMIFS('Cashbook Wix'!$B$2:$B$7106,'Cashbook Wix'!$A$2:$A$7106,"SP_Yoga_NonMember")</f>
        <v>7.24</v>
      </c>
      <c r="K17" s="194">
        <v>0</v>
      </c>
      <c r="L17" s="145">
        <f t="shared" si="17"/>
        <v>7.24</v>
      </c>
      <c r="M17" s="145">
        <f t="shared" si="18"/>
        <v>-12.76</v>
      </c>
      <c r="Z17" s="417"/>
    </row>
    <row r="18" spans="1:26" ht="27.75" customHeight="1" x14ac:dyDescent="0.3">
      <c r="A18" s="621"/>
      <c r="B18" s="232" t="s">
        <v>620</v>
      </c>
      <c r="C18" s="235">
        <f t="shared" ref="C18:D18" si="20">SUM(C15:C17)</f>
        <v>50</v>
      </c>
      <c r="D18" s="234">
        <f t="shared" si="20"/>
        <v>20</v>
      </c>
      <c r="E18" s="235">
        <v>0</v>
      </c>
      <c r="F18" s="235">
        <f t="shared" ref="F18:M18" si="21">SUM(F15:F17)</f>
        <v>50</v>
      </c>
      <c r="G18" s="235">
        <f t="shared" si="21"/>
        <v>0</v>
      </c>
      <c r="H18" s="232">
        <f t="shared" si="21"/>
        <v>0</v>
      </c>
      <c r="I18" s="235">
        <f t="shared" si="21"/>
        <v>-21</v>
      </c>
      <c r="J18" s="235">
        <f t="shared" si="21"/>
        <v>34.94</v>
      </c>
      <c r="K18" s="235">
        <f t="shared" si="21"/>
        <v>0</v>
      </c>
      <c r="L18" s="232">
        <f t="shared" si="21"/>
        <v>13.94</v>
      </c>
      <c r="M18" s="232">
        <f t="shared" si="21"/>
        <v>13.94</v>
      </c>
      <c r="Z18" s="417"/>
    </row>
    <row r="19" spans="1:26" ht="27.75" customHeight="1" x14ac:dyDescent="0.3">
      <c r="A19" s="619" t="s">
        <v>625</v>
      </c>
      <c r="B19" s="238" t="s">
        <v>626</v>
      </c>
      <c r="C19" s="239">
        <v>60</v>
      </c>
      <c r="D19" s="247">
        <v>0</v>
      </c>
      <c r="E19" s="241">
        <v>0</v>
      </c>
      <c r="F19" s="241">
        <v>0</v>
      </c>
      <c r="G19" s="241">
        <v>0</v>
      </c>
      <c r="H19" s="242">
        <f t="shared" ref="H19:H22" si="22">F19+G19-C19</f>
        <v>-60</v>
      </c>
      <c r="I19" s="178">
        <f>SUMIFS('Cashbook ING'!$B:$B, 'Cashbook ING'!$A:$A, "SP_")</f>
        <v>0</v>
      </c>
      <c r="J19" s="241">
        <f>SUMIFS('Cashbook Wix'!$B$2:$B$7106,'Cashbook Wix'!$A$2:$A$7106,"SP_")</f>
        <v>0</v>
      </c>
      <c r="K19" s="241">
        <v>0</v>
      </c>
      <c r="L19" s="243">
        <f t="shared" ref="L19:L22" si="23">K19+J19+I19</f>
        <v>0</v>
      </c>
      <c r="M19" s="243">
        <f t="shared" ref="M19:M22" si="24">L19-H19</f>
        <v>60</v>
      </c>
      <c r="Z19" s="417"/>
    </row>
    <row r="20" spans="1:26" ht="27.75" customHeight="1" x14ac:dyDescent="0.3">
      <c r="A20" s="620"/>
      <c r="B20" s="145" t="s">
        <v>560</v>
      </c>
      <c r="C20" s="194">
        <v>200</v>
      </c>
      <c r="D20" s="143">
        <v>0</v>
      </c>
      <c r="E20" s="194">
        <v>0</v>
      </c>
      <c r="F20" s="194">
        <v>0</v>
      </c>
      <c r="G20" s="194">
        <v>0</v>
      </c>
      <c r="H20" s="228">
        <f t="shared" si="22"/>
        <v>-200</v>
      </c>
      <c r="I20" s="194">
        <f>SUMIFS('Cashbook ING'!$B:$B, 'Cashbook ING'!$A:$A, "SP_")</f>
        <v>0</v>
      </c>
      <c r="J20" s="194">
        <f>SUMIFS('Cashbook Wix'!$B$2:$B$7106,'Cashbook Wix'!$A$2:$A$7106,"SP_")</f>
        <v>0</v>
      </c>
      <c r="K20" s="194">
        <v>0</v>
      </c>
      <c r="L20" s="145">
        <f t="shared" si="23"/>
        <v>0</v>
      </c>
      <c r="M20" s="145">
        <f t="shared" si="24"/>
        <v>200</v>
      </c>
      <c r="U20" s="417"/>
    </row>
    <row r="21" spans="1:26" ht="27.75" customHeight="1" x14ac:dyDescent="0.3">
      <c r="A21" s="620"/>
      <c r="B21" s="145" t="s">
        <v>509</v>
      </c>
      <c r="C21" s="194">
        <v>0</v>
      </c>
      <c r="D21" s="143">
        <v>45</v>
      </c>
      <c r="E21" s="194">
        <v>4</v>
      </c>
      <c r="F21" s="194">
        <f t="shared" ref="F21:F22" si="25">E21*D21</f>
        <v>180</v>
      </c>
      <c r="G21" s="194">
        <v>0</v>
      </c>
      <c r="H21" s="228">
        <f t="shared" si="22"/>
        <v>180</v>
      </c>
      <c r="I21" s="194">
        <f>SUMIFS('Cashbook ING'!$B:$B, 'Cashbook ING'!$A:$A, "SP_")</f>
        <v>0</v>
      </c>
      <c r="J21" s="194">
        <f>SUMIFS('Cashbook Wix'!$B$2:$B$7106,'Cashbook Wix'!$A$2:$A$7106,"SP_")</f>
        <v>0</v>
      </c>
      <c r="K21" s="194">
        <v>0</v>
      </c>
      <c r="L21" s="145">
        <f t="shared" si="23"/>
        <v>0</v>
      </c>
      <c r="M21" s="145">
        <f t="shared" si="24"/>
        <v>-180</v>
      </c>
      <c r="U21" s="417"/>
    </row>
    <row r="22" spans="1:26" ht="27.75" customHeight="1" x14ac:dyDescent="0.3">
      <c r="A22" s="620"/>
      <c r="B22" s="145" t="s">
        <v>510</v>
      </c>
      <c r="C22" s="194">
        <v>0</v>
      </c>
      <c r="D22" s="143">
        <v>5</v>
      </c>
      <c r="E22" s="194">
        <v>6</v>
      </c>
      <c r="F22" s="194">
        <f t="shared" si="25"/>
        <v>30</v>
      </c>
      <c r="G22" s="194">
        <v>0</v>
      </c>
      <c r="H22" s="228">
        <f t="shared" si="22"/>
        <v>30</v>
      </c>
      <c r="I22" s="194">
        <f>SUMIFS('Cashbook ING'!$B:$B, 'Cashbook ING'!$A:$A, "SP_")</f>
        <v>0</v>
      </c>
      <c r="J22" s="194">
        <f>SUMIFS('Cashbook Wix'!$B$2:$B$7106,'Cashbook Wix'!$A$2:$A$7106,"SP_")</f>
        <v>0</v>
      </c>
      <c r="K22" s="194">
        <v>0</v>
      </c>
      <c r="L22" s="145">
        <f t="shared" si="23"/>
        <v>0</v>
      </c>
      <c r="M22" s="145">
        <f t="shared" si="24"/>
        <v>-30</v>
      </c>
      <c r="Z22" s="417"/>
    </row>
    <row r="23" spans="1:26" ht="27.75" customHeight="1" x14ac:dyDescent="0.3">
      <c r="A23" s="621"/>
      <c r="B23" s="232" t="s">
        <v>511</v>
      </c>
      <c r="C23" s="235">
        <f>SUM(C19:C22)</f>
        <v>260</v>
      </c>
      <c r="D23" s="234">
        <f>SUM(D21:D22)</f>
        <v>50</v>
      </c>
      <c r="E23" s="235">
        <v>0</v>
      </c>
      <c r="F23" s="235">
        <f t="shared" ref="F23:M23" si="26">SUM(F19:F22)</f>
        <v>210</v>
      </c>
      <c r="G23" s="235">
        <f t="shared" si="26"/>
        <v>0</v>
      </c>
      <c r="H23" s="232">
        <f t="shared" si="26"/>
        <v>-50</v>
      </c>
      <c r="I23" s="235">
        <f t="shared" si="26"/>
        <v>0</v>
      </c>
      <c r="J23" s="235">
        <f t="shared" si="26"/>
        <v>0</v>
      </c>
      <c r="K23" s="235">
        <f t="shared" si="26"/>
        <v>0</v>
      </c>
      <c r="L23" s="232">
        <f t="shared" si="26"/>
        <v>0</v>
      </c>
      <c r="M23" s="232">
        <f t="shared" si="26"/>
        <v>50</v>
      </c>
      <c r="Z23" s="417"/>
    </row>
    <row r="24" spans="1:26" ht="27.75" customHeight="1" x14ac:dyDescent="0.3">
      <c r="A24" s="678" t="s">
        <v>627</v>
      </c>
      <c r="B24" s="418" t="s">
        <v>516</v>
      </c>
      <c r="C24" s="419">
        <v>250</v>
      </c>
      <c r="D24" s="342">
        <v>0</v>
      </c>
      <c r="E24" s="277">
        <v>0</v>
      </c>
      <c r="F24" s="277">
        <v>0</v>
      </c>
      <c r="G24" s="277">
        <v>130</v>
      </c>
      <c r="H24" s="420">
        <f t="shared" ref="H24:H28" si="27">G24+F24-C24</f>
        <v>-120</v>
      </c>
      <c r="I24" s="421">
        <f>SUMIFS('Cashbook ING'!$B:$B, 'Cashbook ING'!$A:$A, "SP_")</f>
        <v>0</v>
      </c>
      <c r="J24" s="277">
        <f>SUMIFS('Cashbook Wix'!$B$2:$B$7106,'Cashbook Wix'!$A$2:$A$7106,"SP_")</f>
        <v>0</v>
      </c>
      <c r="K24" s="277">
        <v>0</v>
      </c>
      <c r="L24" s="285">
        <f t="shared" ref="L24:L28" si="28">K24+J24+I24</f>
        <v>0</v>
      </c>
      <c r="M24" s="422">
        <f t="shared" ref="M24:M28" si="29">L24-H24</f>
        <v>120</v>
      </c>
      <c r="U24" s="417"/>
    </row>
    <row r="25" spans="1:26" ht="27.75" customHeight="1" x14ac:dyDescent="0.3">
      <c r="A25" s="667"/>
      <c r="B25" s="423" t="s">
        <v>628</v>
      </c>
      <c r="C25" s="424">
        <v>75</v>
      </c>
      <c r="D25" s="160">
        <v>0</v>
      </c>
      <c r="E25" s="193">
        <v>0</v>
      </c>
      <c r="F25" s="193">
        <v>0</v>
      </c>
      <c r="G25" s="193">
        <v>0</v>
      </c>
      <c r="H25" s="325">
        <f t="shared" si="27"/>
        <v>-75</v>
      </c>
      <c r="I25" s="290">
        <f>SUMIFS('Cashbook ING'!$B:$B, 'Cashbook ING'!$A:$A, "SP_")</f>
        <v>0</v>
      </c>
      <c r="J25" s="193">
        <f>SUMIFS('Cashbook Wix'!$B$2:$B$7106,'Cashbook Wix'!$A$2:$A$7106,"SP_")</f>
        <v>0</v>
      </c>
      <c r="K25" s="193">
        <v>0</v>
      </c>
      <c r="L25" s="245">
        <f t="shared" si="28"/>
        <v>0</v>
      </c>
      <c r="M25" s="296">
        <f t="shared" si="29"/>
        <v>75</v>
      </c>
    </row>
    <row r="26" spans="1:26" ht="27.75" customHeight="1" x14ac:dyDescent="0.3">
      <c r="A26" s="667"/>
      <c r="B26" s="423" t="s">
        <v>629</v>
      </c>
      <c r="C26" s="424">
        <v>15</v>
      </c>
      <c r="D26" s="160">
        <v>0</v>
      </c>
      <c r="E26" s="193">
        <v>0</v>
      </c>
      <c r="F26" s="193">
        <v>0</v>
      </c>
      <c r="G26" s="193">
        <v>0</v>
      </c>
      <c r="H26" s="325">
        <f t="shared" si="27"/>
        <v>-15</v>
      </c>
      <c r="I26" s="290">
        <f>SUMIFS('Cashbook ING'!$B:$B, 'Cashbook ING'!$A:$A, "SP_")</f>
        <v>0</v>
      </c>
      <c r="J26" s="193">
        <f>SUMIFS('Cashbook Wix'!$B$2:$B$7106,'Cashbook Wix'!$A$2:$A$7106,"SP_")</f>
        <v>0</v>
      </c>
      <c r="K26" s="193">
        <v>0</v>
      </c>
      <c r="L26" s="245">
        <f t="shared" si="28"/>
        <v>0</v>
      </c>
      <c r="M26" s="296">
        <f t="shared" si="29"/>
        <v>15</v>
      </c>
      <c r="U26" s="417"/>
    </row>
    <row r="27" spans="1:26" ht="27.75" customHeight="1" x14ac:dyDescent="0.3">
      <c r="A27" s="667"/>
      <c r="B27" s="423" t="s">
        <v>509</v>
      </c>
      <c r="C27" s="424">
        <v>0</v>
      </c>
      <c r="D27" s="160">
        <v>35</v>
      </c>
      <c r="E27" s="193">
        <v>5.5</v>
      </c>
      <c r="F27" s="193">
        <f t="shared" ref="F27:F28" si="30">E27*D27</f>
        <v>192.5</v>
      </c>
      <c r="G27" s="193">
        <v>0</v>
      </c>
      <c r="H27" s="325">
        <f t="shared" si="27"/>
        <v>192.5</v>
      </c>
      <c r="I27" s="290">
        <f>SUMIFS('Cashbook ING'!$B:$B, 'Cashbook ING'!$A:$A, "SP_")</f>
        <v>0</v>
      </c>
      <c r="J27" s="193">
        <f>SUMIFS('Cashbook Wix'!$B$2:$B$7106,'Cashbook Wix'!$A$2:$A$7106,"SP_")</f>
        <v>0</v>
      </c>
      <c r="K27" s="193">
        <v>0</v>
      </c>
      <c r="L27" s="245">
        <f t="shared" si="28"/>
        <v>0</v>
      </c>
      <c r="M27" s="296">
        <f t="shared" si="29"/>
        <v>-192.5</v>
      </c>
      <c r="Z27" s="417"/>
    </row>
    <row r="28" spans="1:26" ht="27.75" customHeight="1" x14ac:dyDescent="0.3">
      <c r="A28" s="667"/>
      <c r="B28" s="423" t="s">
        <v>510</v>
      </c>
      <c r="C28" s="425">
        <v>0</v>
      </c>
      <c r="D28" s="160">
        <v>5</v>
      </c>
      <c r="E28" s="193">
        <v>7.5</v>
      </c>
      <c r="F28" s="193">
        <f t="shared" si="30"/>
        <v>37.5</v>
      </c>
      <c r="G28" s="193">
        <v>0</v>
      </c>
      <c r="H28" s="325">
        <f t="shared" si="27"/>
        <v>37.5</v>
      </c>
      <c r="I28" s="290">
        <f>SUMIFS('Cashbook ING'!$B:$B, 'Cashbook ING'!$A:$A, "SP_")</f>
        <v>0</v>
      </c>
      <c r="J28" s="193">
        <f>SUMIFS('Cashbook Wix'!$B$2:$B$7106,'Cashbook Wix'!$A$2:$A$7106,"SP_")</f>
        <v>0</v>
      </c>
      <c r="K28" s="193">
        <v>0</v>
      </c>
      <c r="L28" s="245">
        <f t="shared" si="28"/>
        <v>0</v>
      </c>
      <c r="M28" s="296">
        <f t="shared" si="29"/>
        <v>-37.5</v>
      </c>
      <c r="Z28" s="417"/>
    </row>
    <row r="29" spans="1:26" ht="27.75" customHeight="1" x14ac:dyDescent="0.3">
      <c r="A29" s="668"/>
      <c r="B29" s="426" t="s">
        <v>511</v>
      </c>
      <c r="C29" s="256">
        <f t="shared" ref="C29:D29" si="31">SUM(C24:C28)</f>
        <v>340</v>
      </c>
      <c r="D29" s="234">
        <f t="shared" si="31"/>
        <v>40</v>
      </c>
      <c r="E29" s="235">
        <v>0</v>
      </c>
      <c r="F29" s="235">
        <f t="shared" ref="F29:M29" si="32">SUM(F24:F28)</f>
        <v>230</v>
      </c>
      <c r="G29" s="235">
        <f t="shared" si="32"/>
        <v>130</v>
      </c>
      <c r="H29" s="236">
        <f t="shared" si="32"/>
        <v>20</v>
      </c>
      <c r="I29" s="292">
        <f t="shared" si="32"/>
        <v>0</v>
      </c>
      <c r="J29" s="235">
        <f t="shared" si="32"/>
        <v>0</v>
      </c>
      <c r="K29" s="235">
        <f t="shared" si="32"/>
        <v>0</v>
      </c>
      <c r="L29" s="232">
        <f t="shared" si="32"/>
        <v>0</v>
      </c>
      <c r="M29" s="293">
        <f t="shared" si="32"/>
        <v>-20</v>
      </c>
      <c r="U29" s="417"/>
    </row>
    <row r="30" spans="1:26" ht="27.75" customHeight="1" x14ac:dyDescent="0.3">
      <c r="A30" s="679" t="s">
        <v>630</v>
      </c>
      <c r="B30" s="238" t="s">
        <v>628</v>
      </c>
      <c r="C30" s="427">
        <v>20</v>
      </c>
      <c r="D30" s="247">
        <v>0</v>
      </c>
      <c r="E30" s="241">
        <v>0</v>
      </c>
      <c r="F30" s="241">
        <v>0</v>
      </c>
      <c r="G30" s="241">
        <v>0</v>
      </c>
      <c r="H30" s="242">
        <f t="shared" ref="H30:H33" si="33">F30+G30-C30</f>
        <v>-20</v>
      </c>
      <c r="I30" s="178">
        <f>SUMIFS('Cashbook ING'!$B:$B, 'Cashbook ING'!$A:$A, "SP_")</f>
        <v>0</v>
      </c>
      <c r="J30" s="241">
        <f>SUMIFS('Cashbook Wix'!$B$2:$B$7106,'Cashbook Wix'!$A$2:$A$7106,"SP_")</f>
        <v>0</v>
      </c>
      <c r="K30" s="241">
        <v>0</v>
      </c>
      <c r="L30" s="241">
        <f t="shared" ref="L30:L33" si="34">K30+J30+I30</f>
        <v>0</v>
      </c>
      <c r="M30" s="428">
        <f t="shared" ref="M30:M33" si="35">L30-H30</f>
        <v>20</v>
      </c>
      <c r="U30" s="417"/>
    </row>
    <row r="31" spans="1:26" ht="27.75" customHeight="1" x14ac:dyDescent="0.3">
      <c r="A31" s="620"/>
      <c r="B31" s="245" t="s">
        <v>631</v>
      </c>
      <c r="C31" s="429">
        <v>65</v>
      </c>
      <c r="D31" s="143">
        <v>0</v>
      </c>
      <c r="E31" s="194">
        <v>0</v>
      </c>
      <c r="F31" s="194">
        <v>0</v>
      </c>
      <c r="G31" s="194">
        <v>0</v>
      </c>
      <c r="H31" s="228">
        <f t="shared" si="33"/>
        <v>-65</v>
      </c>
      <c r="I31" s="178">
        <f>SUMIFS('Cashbook ING'!$B:$B, 'Cashbook ING'!$A:$A, "SP_")</f>
        <v>0</v>
      </c>
      <c r="J31" s="194">
        <f>SUMIFS('Cashbook Wix'!$B$2:$B$7106,'Cashbook Wix'!$A$2:$A$7106,"SP_")</f>
        <v>0</v>
      </c>
      <c r="K31" s="194">
        <v>0</v>
      </c>
      <c r="L31" s="194">
        <f t="shared" si="34"/>
        <v>0</v>
      </c>
      <c r="M31" s="301">
        <f t="shared" si="35"/>
        <v>65</v>
      </c>
      <c r="U31" s="417"/>
    </row>
    <row r="32" spans="1:26" ht="27.75" customHeight="1" x14ac:dyDescent="0.3">
      <c r="A32" s="620"/>
      <c r="B32" s="145" t="s">
        <v>509</v>
      </c>
      <c r="C32" s="194">
        <v>0</v>
      </c>
      <c r="D32" s="143">
        <v>25</v>
      </c>
      <c r="E32" s="194">
        <v>2</v>
      </c>
      <c r="F32" s="194">
        <f t="shared" ref="F32:F33" si="36">E32*D32</f>
        <v>50</v>
      </c>
      <c r="G32" s="194">
        <v>0</v>
      </c>
      <c r="H32" s="228">
        <f t="shared" si="33"/>
        <v>50</v>
      </c>
      <c r="I32" s="194">
        <f>SUMIFS('Cashbook ING'!$B:$B, 'Cashbook ING'!$A:$A, "SP_")</f>
        <v>0</v>
      </c>
      <c r="J32" s="194">
        <f>SUMIFS('Cashbook Wix'!$B$2:$B$7106,'Cashbook Wix'!$A$2:$A$7106,"SP_")</f>
        <v>0</v>
      </c>
      <c r="K32" s="194">
        <v>0</v>
      </c>
      <c r="L32" s="194">
        <f t="shared" si="34"/>
        <v>0</v>
      </c>
      <c r="M32" s="301">
        <f t="shared" si="35"/>
        <v>-50</v>
      </c>
      <c r="Z32" s="417"/>
    </row>
    <row r="33" spans="1:26" ht="27.75" customHeight="1" x14ac:dyDescent="0.3">
      <c r="A33" s="620"/>
      <c r="B33" s="145" t="s">
        <v>510</v>
      </c>
      <c r="C33" s="194">
        <v>0</v>
      </c>
      <c r="D33" s="143">
        <v>5</v>
      </c>
      <c r="E33" s="194">
        <v>4</v>
      </c>
      <c r="F33" s="194">
        <f t="shared" si="36"/>
        <v>20</v>
      </c>
      <c r="G33" s="194">
        <v>0</v>
      </c>
      <c r="H33" s="228">
        <f t="shared" si="33"/>
        <v>20</v>
      </c>
      <c r="I33" s="194">
        <f>SUMIFS('Cashbook ING'!$B:$B, 'Cashbook ING'!$A:$A, "SP_")</f>
        <v>0</v>
      </c>
      <c r="J33" s="194">
        <f>SUMIFS('Cashbook Wix'!$B$2:$B$7106,'Cashbook Wix'!$A$2:$A$7106,"SP_")</f>
        <v>0</v>
      </c>
      <c r="K33" s="194">
        <v>0</v>
      </c>
      <c r="L33" s="194">
        <f t="shared" si="34"/>
        <v>0</v>
      </c>
      <c r="M33" s="301">
        <f t="shared" si="35"/>
        <v>-20</v>
      </c>
      <c r="Z33" s="417"/>
    </row>
    <row r="34" spans="1:26" ht="27.75" customHeight="1" x14ac:dyDescent="0.3">
      <c r="A34" s="621"/>
      <c r="B34" s="430" t="s">
        <v>620</v>
      </c>
      <c r="C34" s="431">
        <f>SUM(C30:C33)</f>
        <v>85</v>
      </c>
      <c r="D34" s="234">
        <f>SUM(D32:D33)</f>
        <v>30</v>
      </c>
      <c r="E34" s="235">
        <v>0</v>
      </c>
      <c r="F34" s="235">
        <f t="shared" ref="F34:M34" si="37">SUM(F30:F33)</f>
        <v>70</v>
      </c>
      <c r="G34" s="235">
        <f t="shared" si="37"/>
        <v>0</v>
      </c>
      <c r="H34" s="232">
        <f t="shared" si="37"/>
        <v>-15</v>
      </c>
      <c r="I34" s="431">
        <f t="shared" si="37"/>
        <v>0</v>
      </c>
      <c r="J34" s="235">
        <f t="shared" si="37"/>
        <v>0</v>
      </c>
      <c r="K34" s="235">
        <f t="shared" si="37"/>
        <v>0</v>
      </c>
      <c r="L34" s="232">
        <f t="shared" si="37"/>
        <v>0</v>
      </c>
      <c r="M34" s="232">
        <f t="shared" si="37"/>
        <v>15</v>
      </c>
      <c r="U34" s="417"/>
    </row>
    <row r="35" spans="1:26" ht="27.75" customHeight="1" x14ac:dyDescent="0.3">
      <c r="A35" s="670" t="s">
        <v>632</v>
      </c>
      <c r="B35" s="225" t="s">
        <v>507</v>
      </c>
      <c r="C35" s="226">
        <v>0</v>
      </c>
      <c r="D35" s="227">
        <v>0</v>
      </c>
      <c r="E35" s="226">
        <v>0</v>
      </c>
      <c r="F35" s="226">
        <v>0</v>
      </c>
      <c r="G35" s="226">
        <v>0</v>
      </c>
      <c r="H35" s="242">
        <f t="shared" ref="H35:H38" si="38">F35+G35-C35</f>
        <v>0</v>
      </c>
      <c r="I35" s="226">
        <f>SUMIFS('Cashbook ING'!$B:$B, 'Cashbook ING'!$A:$A, "PT_")</f>
        <v>0</v>
      </c>
      <c r="J35" s="226">
        <v>0</v>
      </c>
      <c r="K35" s="226">
        <v>0</v>
      </c>
      <c r="L35" s="243">
        <f t="shared" ref="L35:L38" si="39">K35+J35+I35</f>
        <v>0</v>
      </c>
      <c r="M35" s="229">
        <f t="shared" ref="M35:M38" si="40">L35-H35</f>
        <v>0</v>
      </c>
      <c r="U35" s="417"/>
    </row>
    <row r="36" spans="1:26" ht="27.75" customHeight="1" x14ac:dyDescent="0.3">
      <c r="A36" s="620"/>
      <c r="B36" s="230" t="s">
        <v>517</v>
      </c>
      <c r="C36" s="194">
        <v>360</v>
      </c>
      <c r="D36" s="143">
        <v>0</v>
      </c>
      <c r="E36" s="194">
        <v>0</v>
      </c>
      <c r="F36" s="194">
        <v>0</v>
      </c>
      <c r="G36" s="194">
        <v>0</v>
      </c>
      <c r="H36" s="228">
        <f t="shared" si="38"/>
        <v>-360</v>
      </c>
      <c r="I36" s="194">
        <f>SUMIFS('Cashbook ING'!$B:$B, 'Cashbook ING'!$A:$A, "PT_")</f>
        <v>0</v>
      </c>
      <c r="J36" s="194">
        <v>0</v>
      </c>
      <c r="K36" s="194">
        <v>0</v>
      </c>
      <c r="L36" s="145">
        <f t="shared" si="39"/>
        <v>0</v>
      </c>
      <c r="M36" s="231">
        <f t="shared" si="40"/>
        <v>360</v>
      </c>
      <c r="U36" s="417"/>
    </row>
    <row r="37" spans="1:26" ht="27.75" customHeight="1" x14ac:dyDescent="0.3">
      <c r="A37" s="620"/>
      <c r="B37" s="145" t="s">
        <v>509</v>
      </c>
      <c r="C37" s="194">
        <v>0</v>
      </c>
      <c r="D37" s="143">
        <v>40</v>
      </c>
      <c r="E37" s="194">
        <v>4</v>
      </c>
      <c r="F37" s="194">
        <f t="shared" ref="F37:F38" si="41">E37*D37</f>
        <v>160</v>
      </c>
      <c r="G37" s="194">
        <v>0</v>
      </c>
      <c r="H37" s="228">
        <f t="shared" si="38"/>
        <v>160</v>
      </c>
      <c r="I37" s="194">
        <v>0</v>
      </c>
      <c r="J37" s="194">
        <f>SUMIFS('Cashbook Wix'!$B$2:$B$7106,'Cashbook Wix'!$A$2:$A$7106,"PT_")</f>
        <v>0</v>
      </c>
      <c r="K37" s="194">
        <v>0</v>
      </c>
      <c r="L37" s="145">
        <f t="shared" si="39"/>
        <v>0</v>
      </c>
      <c r="M37" s="231">
        <f t="shared" si="40"/>
        <v>-160</v>
      </c>
      <c r="U37" s="417"/>
    </row>
    <row r="38" spans="1:26" ht="27.75" customHeight="1" x14ac:dyDescent="0.3">
      <c r="A38" s="620"/>
      <c r="B38" s="145" t="s">
        <v>510</v>
      </c>
      <c r="C38" s="194">
        <v>0</v>
      </c>
      <c r="D38" s="143">
        <v>10</v>
      </c>
      <c r="E38" s="194">
        <v>6</v>
      </c>
      <c r="F38" s="194">
        <f t="shared" si="41"/>
        <v>60</v>
      </c>
      <c r="G38" s="194">
        <v>0</v>
      </c>
      <c r="H38" s="228">
        <f t="shared" si="38"/>
        <v>60</v>
      </c>
      <c r="I38" s="194">
        <v>0</v>
      </c>
      <c r="J38" s="194">
        <f>SUMIFS('Cashbook Wix'!$B$2:$B$7106,'Cashbook Wix'!$A$2:$A$7106,"PT_")</f>
        <v>0</v>
      </c>
      <c r="K38" s="194">
        <v>0</v>
      </c>
      <c r="L38" s="145">
        <f t="shared" si="39"/>
        <v>0</v>
      </c>
      <c r="M38" s="231">
        <f t="shared" si="40"/>
        <v>-60</v>
      </c>
      <c r="U38" s="417"/>
    </row>
    <row r="39" spans="1:26" ht="27.75" customHeight="1" x14ac:dyDescent="0.3">
      <c r="A39" s="621"/>
      <c r="B39" s="232" t="s">
        <v>511</v>
      </c>
      <c r="C39" s="233">
        <f t="shared" ref="C39:D39" si="42">SUM(C35:C38)</f>
        <v>360</v>
      </c>
      <c r="D39" s="234">
        <f t="shared" si="42"/>
        <v>50</v>
      </c>
      <c r="E39" s="235">
        <v>0</v>
      </c>
      <c r="F39" s="233">
        <f>SUM(F35:F38)</f>
        <v>220</v>
      </c>
      <c r="G39" s="235">
        <v>0</v>
      </c>
      <c r="H39" s="236">
        <f t="shared" ref="H39:M39" si="43">SUM(H35:H38)</f>
        <v>-140</v>
      </c>
      <c r="I39" s="233">
        <f t="shared" si="43"/>
        <v>0</v>
      </c>
      <c r="J39" s="233">
        <f t="shared" si="43"/>
        <v>0</v>
      </c>
      <c r="K39" s="233">
        <f t="shared" si="43"/>
        <v>0</v>
      </c>
      <c r="L39" s="236">
        <f t="shared" si="43"/>
        <v>0</v>
      </c>
      <c r="M39" s="432">
        <f t="shared" si="43"/>
        <v>140</v>
      </c>
      <c r="Z39" s="417"/>
    </row>
    <row r="40" spans="1:26" ht="27.75" customHeight="1" x14ac:dyDescent="0.3">
      <c r="A40" s="678" t="s">
        <v>633</v>
      </c>
      <c r="B40" s="433" t="s">
        <v>634</v>
      </c>
      <c r="C40" s="419">
        <v>140</v>
      </c>
      <c r="D40" s="342">
        <v>0</v>
      </c>
      <c r="E40" s="277">
        <v>0</v>
      </c>
      <c r="F40" s="277">
        <v>0</v>
      </c>
      <c r="G40" s="277">
        <v>50</v>
      </c>
      <c r="H40" s="420">
        <f t="shared" ref="H40:H43" si="44">G40+F40-C40</f>
        <v>-90</v>
      </c>
      <c r="I40" s="421">
        <f>SUMIFS('Cashbook ING'!$B:$B, 'Cashbook ING'!$A:$A, "SP_")</f>
        <v>0</v>
      </c>
      <c r="J40" s="277">
        <f>SUMIFS('Cashbook Wix'!$B$2:$B$7106,'Cashbook Wix'!$A$2:$A$7106,"SP_")</f>
        <v>0</v>
      </c>
      <c r="K40" s="277">
        <v>0</v>
      </c>
      <c r="L40" s="285">
        <f t="shared" ref="L40:L43" si="45">K40+J40+I40</f>
        <v>0</v>
      </c>
      <c r="M40" s="422">
        <f t="shared" ref="M40:M43" si="46">L40-H40</f>
        <v>90</v>
      </c>
      <c r="Z40" s="417"/>
    </row>
    <row r="41" spans="1:26" ht="27.75" customHeight="1" x14ac:dyDescent="0.3">
      <c r="A41" s="667"/>
      <c r="B41" s="423" t="s">
        <v>628</v>
      </c>
      <c r="C41" s="424">
        <v>50</v>
      </c>
      <c r="D41" s="160">
        <v>0</v>
      </c>
      <c r="E41" s="193">
        <v>0</v>
      </c>
      <c r="F41" s="193">
        <v>0</v>
      </c>
      <c r="G41" s="193">
        <v>0</v>
      </c>
      <c r="H41" s="325">
        <f t="shared" si="44"/>
        <v>-50</v>
      </c>
      <c r="I41" s="290">
        <f>SUMIFS('Cashbook ING'!$B:$B, 'Cashbook ING'!$A:$A, "SP_")</f>
        <v>0</v>
      </c>
      <c r="J41" s="193">
        <f>SUMIFS('Cashbook Wix'!$B$2:$B$7106,'Cashbook Wix'!$A$2:$A$7106,"SP_")</f>
        <v>0</v>
      </c>
      <c r="K41" s="193">
        <v>0</v>
      </c>
      <c r="L41" s="245">
        <f t="shared" si="45"/>
        <v>0</v>
      </c>
      <c r="M41" s="296">
        <f t="shared" si="46"/>
        <v>50</v>
      </c>
      <c r="U41" s="417"/>
    </row>
    <row r="42" spans="1:26" ht="27.75" customHeight="1" x14ac:dyDescent="0.3">
      <c r="A42" s="667"/>
      <c r="B42" s="423" t="s">
        <v>509</v>
      </c>
      <c r="C42" s="424">
        <v>0</v>
      </c>
      <c r="D42" s="160">
        <v>25</v>
      </c>
      <c r="E42" s="193">
        <v>4</v>
      </c>
      <c r="F42" s="193">
        <f t="shared" ref="F42:F43" si="47">E42*D42</f>
        <v>100</v>
      </c>
      <c r="G42" s="193">
        <v>0</v>
      </c>
      <c r="H42" s="325">
        <f t="shared" si="44"/>
        <v>100</v>
      </c>
      <c r="I42" s="290">
        <f>SUMIFS('Cashbook ING'!$B:$B, 'Cashbook ING'!$A:$A, "SP_")</f>
        <v>0</v>
      </c>
      <c r="J42" s="193">
        <f>SUMIFS('Cashbook Wix'!$B$2:$B$7106,'Cashbook Wix'!$A$2:$A$7106,"SP_")</f>
        <v>0</v>
      </c>
      <c r="K42" s="193">
        <v>0</v>
      </c>
      <c r="L42" s="245">
        <f t="shared" si="45"/>
        <v>0</v>
      </c>
      <c r="M42" s="296">
        <f t="shared" si="46"/>
        <v>-100</v>
      </c>
      <c r="U42" s="417"/>
    </row>
    <row r="43" spans="1:26" ht="27.75" customHeight="1" x14ac:dyDescent="0.3">
      <c r="A43" s="667"/>
      <c r="B43" s="423" t="s">
        <v>510</v>
      </c>
      <c r="C43" s="425">
        <v>0</v>
      </c>
      <c r="D43" s="160">
        <v>5</v>
      </c>
      <c r="E43" s="193">
        <v>6</v>
      </c>
      <c r="F43" s="193">
        <f t="shared" si="47"/>
        <v>30</v>
      </c>
      <c r="G43" s="193">
        <v>0</v>
      </c>
      <c r="H43" s="325">
        <f t="shared" si="44"/>
        <v>30</v>
      </c>
      <c r="I43" s="290">
        <f>SUMIFS('Cashbook ING'!$B:$B, 'Cashbook ING'!$A:$A, "SP_")</f>
        <v>0</v>
      </c>
      <c r="J43" s="193">
        <f>SUMIFS('Cashbook Wix'!$B$2:$B$7106,'Cashbook Wix'!$A$2:$A$7106,"SP_")</f>
        <v>0</v>
      </c>
      <c r="K43" s="193">
        <v>0</v>
      </c>
      <c r="L43" s="245">
        <f t="shared" si="45"/>
        <v>0</v>
      </c>
      <c r="M43" s="296">
        <f t="shared" si="46"/>
        <v>-30</v>
      </c>
    </row>
    <row r="44" spans="1:26" ht="27.75" customHeight="1" x14ac:dyDescent="0.3">
      <c r="A44" s="668"/>
      <c r="B44" s="426" t="s">
        <v>511</v>
      </c>
      <c r="C44" s="256">
        <f t="shared" ref="C44:D44" si="48">SUM(C40:C43)</f>
        <v>190</v>
      </c>
      <c r="D44" s="234">
        <f t="shared" si="48"/>
        <v>30</v>
      </c>
      <c r="E44" s="235">
        <v>0</v>
      </c>
      <c r="F44" s="235">
        <f t="shared" ref="F44:M44" si="49">SUM(F40:F43)</f>
        <v>130</v>
      </c>
      <c r="G44" s="235">
        <f t="shared" si="49"/>
        <v>50</v>
      </c>
      <c r="H44" s="236">
        <f t="shared" si="49"/>
        <v>-10</v>
      </c>
      <c r="I44" s="292">
        <f t="shared" si="49"/>
        <v>0</v>
      </c>
      <c r="J44" s="235">
        <f t="shared" si="49"/>
        <v>0</v>
      </c>
      <c r="K44" s="235">
        <f t="shared" si="49"/>
        <v>0</v>
      </c>
      <c r="L44" s="232">
        <f t="shared" si="49"/>
        <v>0</v>
      </c>
      <c r="M44" s="293">
        <f t="shared" si="49"/>
        <v>10</v>
      </c>
    </row>
    <row r="45" spans="1:26" ht="27.75" customHeight="1" x14ac:dyDescent="0.3">
      <c r="A45" s="625" t="s">
        <v>635</v>
      </c>
      <c r="B45" s="238" t="s">
        <v>553</v>
      </c>
      <c r="C45" s="434">
        <v>80</v>
      </c>
      <c r="D45" s="240">
        <v>0</v>
      </c>
      <c r="E45" s="239">
        <v>0</v>
      </c>
      <c r="F45" s="435">
        <v>0</v>
      </c>
      <c r="G45" s="435">
        <v>0</v>
      </c>
      <c r="H45" s="323">
        <f t="shared" ref="H45:H50" si="50">G45+F45-C45</f>
        <v>-80</v>
      </c>
      <c r="I45" s="434">
        <f>SUMIFS('Cashbook ING'!$B:$B, 'Cashbook ING'!$A:$A, "SP_")</f>
        <v>0</v>
      </c>
      <c r="J45" s="435">
        <f>SUMIFS('Cashbook Wix'!$B$2:$B$7106,'Cashbook Wix'!$A$2:$A$7106,"SP_")</f>
        <v>0</v>
      </c>
      <c r="K45" s="435">
        <v>0</v>
      </c>
      <c r="L45" s="323">
        <f t="shared" ref="L45:L50" si="51">K45+J45+I45</f>
        <v>0</v>
      </c>
      <c r="M45" s="436">
        <f t="shared" ref="M45:M50" si="52">L45-H45</f>
        <v>80</v>
      </c>
    </row>
    <row r="46" spans="1:26" ht="27.75" customHeight="1" x14ac:dyDescent="0.3">
      <c r="A46" s="617"/>
      <c r="B46" s="245" t="s">
        <v>636</v>
      </c>
      <c r="C46" s="425">
        <v>400</v>
      </c>
      <c r="D46" s="160">
        <v>0</v>
      </c>
      <c r="E46" s="193">
        <v>0</v>
      </c>
      <c r="F46" s="355">
        <v>0</v>
      </c>
      <c r="G46" s="355">
        <v>200</v>
      </c>
      <c r="H46" s="325">
        <f t="shared" si="50"/>
        <v>-200</v>
      </c>
      <c r="I46" s="425">
        <v>0</v>
      </c>
      <c r="J46" s="355">
        <v>0</v>
      </c>
      <c r="K46" s="355">
        <v>0</v>
      </c>
      <c r="L46" s="325">
        <f t="shared" si="51"/>
        <v>0</v>
      </c>
      <c r="M46" s="437">
        <f t="shared" si="52"/>
        <v>200</v>
      </c>
    </row>
    <row r="47" spans="1:26" ht="27.75" customHeight="1" x14ac:dyDescent="0.3">
      <c r="A47" s="617"/>
      <c r="B47" s="245" t="s">
        <v>637</v>
      </c>
      <c r="C47" s="425">
        <v>300</v>
      </c>
      <c r="D47" s="160">
        <v>0</v>
      </c>
      <c r="E47" s="193">
        <v>0</v>
      </c>
      <c r="F47" s="355">
        <v>0</v>
      </c>
      <c r="G47" s="355">
        <v>200</v>
      </c>
      <c r="H47" s="325">
        <f t="shared" si="50"/>
        <v>-100</v>
      </c>
      <c r="I47" s="425">
        <f>SUMIFS('Cashbook ING'!$B:$B, 'Cashbook ING'!$A:$A, "SP_")</f>
        <v>0</v>
      </c>
      <c r="J47" s="355">
        <f>SUMIFS('Cashbook Wix'!$B$2:$B$7106,'Cashbook Wix'!$A$2:$A$7106,"SP_")</f>
        <v>0</v>
      </c>
      <c r="K47" s="355">
        <v>0</v>
      </c>
      <c r="L47" s="325">
        <f t="shared" si="51"/>
        <v>0</v>
      </c>
      <c r="M47" s="437">
        <f t="shared" si="52"/>
        <v>100</v>
      </c>
    </row>
    <row r="48" spans="1:26" ht="27.75" customHeight="1" x14ac:dyDescent="0.3">
      <c r="A48" s="617"/>
      <c r="B48" s="245" t="s">
        <v>638</v>
      </c>
      <c r="C48" s="425">
        <v>100</v>
      </c>
      <c r="D48" s="160">
        <v>0</v>
      </c>
      <c r="E48" s="193">
        <v>0</v>
      </c>
      <c r="F48" s="355">
        <v>0</v>
      </c>
      <c r="G48" s="355">
        <v>0</v>
      </c>
      <c r="H48" s="325">
        <f t="shared" si="50"/>
        <v>-100</v>
      </c>
      <c r="I48" s="425">
        <f>SUMIFS('Cashbook ING'!$B:$B, 'Cashbook ING'!$A:$A, "SP_")</f>
        <v>0</v>
      </c>
      <c r="J48" s="355">
        <f>SUMIFS('Cashbook Wix'!$B$2:$B$7106,'Cashbook Wix'!$A$2:$A$7106,"SP_")</f>
        <v>0</v>
      </c>
      <c r="K48" s="355">
        <v>0</v>
      </c>
      <c r="L48" s="325">
        <f t="shared" si="51"/>
        <v>0</v>
      </c>
      <c r="M48" s="437">
        <f t="shared" si="52"/>
        <v>100</v>
      </c>
    </row>
    <row r="49" spans="1:13" ht="27.75" customHeight="1" x14ac:dyDescent="0.3">
      <c r="A49" s="617"/>
      <c r="B49" s="245" t="s">
        <v>639</v>
      </c>
      <c r="C49" s="425">
        <v>0</v>
      </c>
      <c r="D49" s="160">
        <v>50</v>
      </c>
      <c r="E49" s="193">
        <v>4</v>
      </c>
      <c r="F49" s="355">
        <f t="shared" ref="F49:F50" si="53">D49*E49</f>
        <v>200</v>
      </c>
      <c r="G49" s="355">
        <v>0</v>
      </c>
      <c r="H49" s="325">
        <f t="shared" si="50"/>
        <v>200</v>
      </c>
      <c r="I49" s="425">
        <f>SUMIFS('Cashbook ING'!$B:$B, 'Cashbook ING'!$A:$A, "SP_")</f>
        <v>0</v>
      </c>
      <c r="J49" s="355">
        <f>SUMIFS('Cashbook Wix'!$B$2:$B$7106,'Cashbook Wix'!$A$2:$A$7106,"SP_")</f>
        <v>0</v>
      </c>
      <c r="K49" s="355">
        <v>0</v>
      </c>
      <c r="L49" s="325">
        <f t="shared" si="51"/>
        <v>0</v>
      </c>
      <c r="M49" s="437">
        <f t="shared" si="52"/>
        <v>-200</v>
      </c>
    </row>
    <row r="50" spans="1:13" ht="27.75" customHeight="1" x14ac:dyDescent="0.3">
      <c r="A50" s="617"/>
      <c r="B50" s="245" t="s">
        <v>640</v>
      </c>
      <c r="C50" s="425">
        <v>0</v>
      </c>
      <c r="D50" s="160">
        <v>5</v>
      </c>
      <c r="E50" s="193">
        <v>6</v>
      </c>
      <c r="F50" s="355">
        <f t="shared" si="53"/>
        <v>30</v>
      </c>
      <c r="G50" s="355">
        <v>0</v>
      </c>
      <c r="H50" s="325">
        <f t="shared" si="50"/>
        <v>30</v>
      </c>
      <c r="I50" s="425">
        <f>SUMIFS('Cashbook ING'!$B:$B, 'Cashbook ING'!$A:$A, "SP_")</f>
        <v>0</v>
      </c>
      <c r="J50" s="355">
        <f>SUMIFS('Cashbook Wix'!$B$2:$B$7106,'Cashbook Wix'!$A$2:$A$7106,"SP_")</f>
        <v>0</v>
      </c>
      <c r="K50" s="355">
        <v>0</v>
      </c>
      <c r="L50" s="325">
        <f t="shared" si="51"/>
        <v>0</v>
      </c>
      <c r="M50" s="437">
        <f t="shared" si="52"/>
        <v>-30</v>
      </c>
    </row>
    <row r="51" spans="1:13" ht="27.75" customHeight="1" x14ac:dyDescent="0.3">
      <c r="A51" s="677"/>
      <c r="B51" s="232" t="s">
        <v>511</v>
      </c>
      <c r="C51" s="256">
        <f t="shared" ref="C51:D51" si="54">SUM(C45:C50)</f>
        <v>880</v>
      </c>
      <c r="D51" s="234">
        <f t="shared" si="54"/>
        <v>55</v>
      </c>
      <c r="E51" s="235">
        <v>0</v>
      </c>
      <c r="F51" s="233">
        <f t="shared" ref="F51:M51" si="55">SUM(F45:F50)</f>
        <v>230</v>
      </c>
      <c r="G51" s="233">
        <f t="shared" si="55"/>
        <v>400</v>
      </c>
      <c r="H51" s="236">
        <f t="shared" si="55"/>
        <v>-250</v>
      </c>
      <c r="I51" s="256">
        <f t="shared" si="55"/>
        <v>0</v>
      </c>
      <c r="J51" s="233">
        <f t="shared" si="55"/>
        <v>0</v>
      </c>
      <c r="K51" s="233">
        <f t="shared" si="55"/>
        <v>0</v>
      </c>
      <c r="L51" s="236">
        <f t="shared" si="55"/>
        <v>0</v>
      </c>
      <c r="M51" s="438">
        <f t="shared" si="55"/>
        <v>250</v>
      </c>
    </row>
    <row r="52" spans="1:13" ht="27.75" customHeight="1" x14ac:dyDescent="0.35">
      <c r="A52" s="439"/>
      <c r="B52" s="440" t="s">
        <v>450</v>
      </c>
      <c r="C52" s="441">
        <f t="shared" ref="C52:H52" si="56">SUM(C6+C10+C14+C23+C34+C44+C51+C29+C18+C39)</f>
        <v>2630</v>
      </c>
      <c r="D52" s="441">
        <f t="shared" si="56"/>
        <v>377</v>
      </c>
      <c r="E52" s="441">
        <f t="shared" si="56"/>
        <v>0</v>
      </c>
      <c r="F52" s="441">
        <f t="shared" si="56"/>
        <v>1350</v>
      </c>
      <c r="G52" s="441">
        <f t="shared" si="56"/>
        <v>880</v>
      </c>
      <c r="H52" s="441">
        <f t="shared" si="56"/>
        <v>-400</v>
      </c>
      <c r="I52" s="441">
        <f>SUM(I6+I10+I14+I23+I34+I44+I51+I29+I18)</f>
        <v>-473.56</v>
      </c>
      <c r="J52" s="441">
        <f>SUM(J6+J10+J14+J23+J34+J44+J51+J29+J18)</f>
        <v>135.87</v>
      </c>
      <c r="K52" s="441">
        <f>SUM(K6+K10+K14+K23+K34+K44+K51+K29+K18)</f>
        <v>0</v>
      </c>
      <c r="L52" s="441">
        <f>SUM(L6+L10+L14+L23+L34+L44+L51+L29+L18)</f>
        <v>-337.69</v>
      </c>
      <c r="M52" s="441">
        <f>SUM(M6+M10+M14+M23+M34+M44+M51+M29+M18+M39)</f>
        <v>62.31</v>
      </c>
    </row>
    <row r="53" spans="1:13" ht="27.75" customHeight="1" x14ac:dyDescent="0.2">
      <c r="K53" s="10">
        <v>3</v>
      </c>
    </row>
    <row r="54" spans="1:13" ht="27.75" customHeight="1" x14ac:dyDescent="0.2"/>
    <row r="55" spans="1:13" ht="27.75" customHeight="1" x14ac:dyDescent="0.2"/>
    <row r="56" spans="1:13" ht="27.75" customHeight="1" x14ac:dyDescent="0.2"/>
    <row r="57" spans="1:13" ht="14.25" customHeight="1" x14ac:dyDescent="0.2"/>
    <row r="58" spans="1:13" ht="14.25" customHeight="1" x14ac:dyDescent="0.2"/>
    <row r="59" spans="1:13" ht="14.25" customHeight="1" x14ac:dyDescent="0.2"/>
    <row r="60" spans="1:13" ht="14.25" customHeight="1" x14ac:dyDescent="0.2"/>
    <row r="61" spans="1:13" ht="14.25" customHeight="1" x14ac:dyDescent="0.2"/>
    <row r="62" spans="1:13" ht="14.25" customHeight="1" x14ac:dyDescent="0.2"/>
    <row r="63" spans="1:13" ht="14.25" customHeight="1" x14ac:dyDescent="0.2"/>
    <row r="64" spans="1:13"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sheetData>
  <mergeCells count="14">
    <mergeCell ref="I1:M1"/>
    <mergeCell ref="A3:A6"/>
    <mergeCell ref="A7:A10"/>
    <mergeCell ref="A11:A14"/>
    <mergeCell ref="A45:A51"/>
    <mergeCell ref="A24:A29"/>
    <mergeCell ref="A1:A2"/>
    <mergeCell ref="B1:B2"/>
    <mergeCell ref="C1:H1"/>
    <mergeCell ref="A15:A18"/>
    <mergeCell ref="A19:A23"/>
    <mergeCell ref="A30:A34"/>
    <mergeCell ref="A35:A39"/>
    <mergeCell ref="A40:A44"/>
  </mergeCells>
  <conditionalFormatting sqref="A2:A5 B32:B34 C34:M34 A45:M46 A52:M997">
    <cfRule type="cellIs" dxfId="30" priority="14" operator="lessThan">
      <formula>0</formula>
    </cfRule>
  </conditionalFormatting>
  <conditionalFormatting sqref="A35:A36">
    <cfRule type="cellIs" dxfId="29" priority="2" operator="lessThan">
      <formula>0</formula>
    </cfRule>
  </conditionalFormatting>
  <conditionalFormatting sqref="A1:C1 I1:M1 L2:M2">
    <cfRule type="cellIs" dxfId="28" priority="3" operator="lessThan">
      <formula>0</formula>
    </cfRule>
  </conditionalFormatting>
  <conditionalFormatting sqref="B21:B22">
    <cfRule type="cellIs" dxfId="27" priority="4" operator="lessThan">
      <formula>0</formula>
    </cfRule>
  </conditionalFormatting>
  <conditionalFormatting sqref="B3:G5">
    <cfRule type="cellIs" dxfId="26" priority="5" operator="lessThan">
      <formula>0</formula>
    </cfRule>
  </conditionalFormatting>
  <conditionalFormatting sqref="B6:M18">
    <cfRule type="cellIs" dxfId="25" priority="6" operator="lessThan">
      <formula>0</formula>
    </cfRule>
  </conditionalFormatting>
  <conditionalFormatting sqref="F8:F9">
    <cfRule type="cellIs" dxfId="24" priority="8" operator="lessThan">
      <formula>0</formula>
    </cfRule>
  </conditionalFormatting>
  <conditionalFormatting sqref="F12:F13">
    <cfRule type="cellIs" dxfId="23" priority="9" operator="lessThan">
      <formula>0</formula>
    </cfRule>
  </conditionalFormatting>
  <conditionalFormatting sqref="F16:F17">
    <cfRule type="cellIs" dxfId="22" priority="10" operator="lessThan">
      <formula>0</formula>
    </cfRule>
  </conditionalFormatting>
  <conditionalFormatting sqref="F21:F22">
    <cfRule type="cellIs" dxfId="21" priority="11" operator="lessThan">
      <formula>0</formula>
    </cfRule>
  </conditionalFormatting>
  <conditionalFormatting sqref="H2:H5">
    <cfRule type="cellIs" dxfId="20" priority="12" operator="lessThan">
      <formula>0</formula>
    </cfRule>
  </conditionalFormatting>
  <conditionalFormatting sqref="I3:M5">
    <cfRule type="cellIs" dxfId="19" priority="13" operator="lessThan">
      <formula>0</formula>
    </cfRule>
  </conditionalFormatting>
  <conditionalFormatting sqref="N1:Z46 A11 A19:M19 B20:M33 A30:A31 B35:M51">
    <cfRule type="cellIs" dxfId="18" priority="1" operator="lessThan">
      <formula>0</formula>
    </cfRule>
  </conditionalFormatting>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1:M1000"/>
  <sheetViews>
    <sheetView workbookViewId="0">
      <selection sqref="A1:A2"/>
    </sheetView>
  </sheetViews>
  <sheetFormatPr baseColWidth="10" defaultColWidth="14.5" defaultRowHeight="15" customHeight="1" x14ac:dyDescent="0.2"/>
  <cols>
    <col min="1" max="1" width="23.5" customWidth="1"/>
    <col min="2" max="2" width="31.5" customWidth="1"/>
    <col min="3" max="6" width="22.6640625" customWidth="1"/>
    <col min="7" max="7" width="30.5" customWidth="1"/>
    <col min="8" max="13" width="22.6640625" customWidth="1"/>
    <col min="14" max="26" width="11.5" customWidth="1"/>
  </cols>
  <sheetData>
    <row r="1" spans="1:13" ht="27.75" customHeight="1" x14ac:dyDescent="0.25">
      <c r="A1" s="606" t="s">
        <v>459</v>
      </c>
      <c r="B1" s="608" t="s">
        <v>460</v>
      </c>
      <c r="C1" s="609" t="s">
        <v>379</v>
      </c>
      <c r="D1" s="610"/>
      <c r="E1" s="610"/>
      <c r="F1" s="610"/>
      <c r="G1" s="610"/>
      <c r="H1" s="611"/>
      <c r="I1" s="612" t="s">
        <v>641</v>
      </c>
      <c r="J1" s="610"/>
      <c r="K1" s="610"/>
      <c r="L1" s="610"/>
      <c r="M1" s="611"/>
    </row>
    <row r="2" spans="1:13" ht="27.75" customHeight="1" x14ac:dyDescent="0.25">
      <c r="A2" s="607"/>
      <c r="B2" s="623"/>
      <c r="C2" s="129" t="s">
        <v>642</v>
      </c>
      <c r="D2" s="130" t="s">
        <v>643</v>
      </c>
      <c r="E2" s="131" t="s">
        <v>644</v>
      </c>
      <c r="F2" s="132" t="s">
        <v>384</v>
      </c>
      <c r="G2" s="133" t="s">
        <v>385</v>
      </c>
      <c r="H2" s="134" t="s">
        <v>386</v>
      </c>
      <c r="I2" s="135" t="s">
        <v>641</v>
      </c>
      <c r="J2" s="136" t="s">
        <v>384</v>
      </c>
      <c r="K2" s="137" t="s">
        <v>385</v>
      </c>
      <c r="L2" s="138" t="s">
        <v>386</v>
      </c>
      <c r="M2" s="139"/>
    </row>
    <row r="3" spans="1:13" ht="27.75" customHeight="1" x14ac:dyDescent="0.3">
      <c r="A3" s="680" t="s">
        <v>443</v>
      </c>
      <c r="B3" s="145" t="s">
        <v>645</v>
      </c>
      <c r="C3" s="442">
        <v>10100</v>
      </c>
      <c r="D3" s="443">
        <v>0</v>
      </c>
      <c r="E3" s="442">
        <v>0</v>
      </c>
      <c r="F3" s="391">
        <v>0</v>
      </c>
      <c r="G3" s="444">
        <v>8000</v>
      </c>
      <c r="H3" s="445">
        <f t="shared" ref="H3:H12" si="0">F3+G3-C3</f>
        <v>-2100</v>
      </c>
      <c r="I3" s="442">
        <f>SUMIFS('Cashbook ING'!$B:$B, 'Cashbook ING'!$A:$A, "FMW_")*-1</f>
        <v>0</v>
      </c>
      <c r="J3" s="442">
        <v>0</v>
      </c>
      <c r="K3" s="442">
        <v>0</v>
      </c>
      <c r="L3" s="445">
        <f t="shared" ref="L3:L12" si="1">J3+K3+I3</f>
        <v>0</v>
      </c>
      <c r="M3" s="445">
        <f t="shared" ref="M3:M12" si="2">L3-H3</f>
        <v>2100</v>
      </c>
    </row>
    <row r="4" spans="1:13" ht="27.75" customHeight="1" x14ac:dyDescent="0.3">
      <c r="A4" s="681"/>
      <c r="B4" s="145" t="s">
        <v>593</v>
      </c>
      <c r="C4" s="442">
        <v>4800</v>
      </c>
      <c r="D4" s="443">
        <v>0</v>
      </c>
      <c r="E4" s="442">
        <v>0</v>
      </c>
      <c r="F4" s="391">
        <v>0</v>
      </c>
      <c r="G4" s="444">
        <v>0</v>
      </c>
      <c r="H4" s="445">
        <f t="shared" si="0"/>
        <v>-4800</v>
      </c>
      <c r="I4" s="442">
        <f>SUMIFS('Cashbook ING'!$B:$B, 'Cashbook ING'!$A:$A, "FMW_")*-1</f>
        <v>0</v>
      </c>
      <c r="J4" s="442">
        <v>0</v>
      </c>
      <c r="K4" s="442">
        <v>0</v>
      </c>
      <c r="L4" s="445">
        <f t="shared" si="1"/>
        <v>0</v>
      </c>
      <c r="M4" s="445">
        <f t="shared" si="2"/>
        <v>4800</v>
      </c>
    </row>
    <row r="5" spans="1:13" ht="27.75" customHeight="1" x14ac:dyDescent="0.3">
      <c r="A5" s="681"/>
      <c r="B5" s="145" t="s">
        <v>517</v>
      </c>
      <c r="C5" s="442">
        <v>2600</v>
      </c>
      <c r="D5" s="443">
        <v>0</v>
      </c>
      <c r="E5" s="442">
        <v>0</v>
      </c>
      <c r="F5" s="391">
        <v>0</v>
      </c>
      <c r="G5" s="444">
        <v>0</v>
      </c>
      <c r="H5" s="445">
        <f t="shared" si="0"/>
        <v>-2600</v>
      </c>
      <c r="I5" s="442">
        <f>SUMIFS('Cashbook ING'!$B:$B, 'Cashbook ING'!$A:$A, "FMW_")*-1</f>
        <v>0</v>
      </c>
      <c r="J5" s="442">
        <v>0</v>
      </c>
      <c r="K5" s="442">
        <v>0</v>
      </c>
      <c r="L5" s="445">
        <f t="shared" si="1"/>
        <v>0</v>
      </c>
      <c r="M5" s="445">
        <f t="shared" si="2"/>
        <v>2600</v>
      </c>
    </row>
    <row r="6" spans="1:13" ht="27.75" customHeight="1" x14ac:dyDescent="0.3">
      <c r="A6" s="681"/>
      <c r="B6" s="145" t="s">
        <v>646</v>
      </c>
      <c r="C6" s="442">
        <v>5100</v>
      </c>
      <c r="D6" s="443">
        <v>0</v>
      </c>
      <c r="E6" s="442">
        <v>0</v>
      </c>
      <c r="F6" s="391">
        <v>0</v>
      </c>
      <c r="G6" s="444">
        <v>5100</v>
      </c>
      <c r="H6" s="445">
        <f t="shared" si="0"/>
        <v>0</v>
      </c>
      <c r="I6" s="442">
        <f>SUMIFS('Cashbook ING'!$B:$B, 'Cashbook ING'!$A:$A, "FMW_")*-1</f>
        <v>0</v>
      </c>
      <c r="J6" s="442">
        <v>0</v>
      </c>
      <c r="K6" s="442">
        <v>0</v>
      </c>
      <c r="L6" s="445">
        <f t="shared" si="1"/>
        <v>0</v>
      </c>
      <c r="M6" s="445">
        <f t="shared" si="2"/>
        <v>0</v>
      </c>
    </row>
    <row r="7" spans="1:13" ht="27.75" customHeight="1" x14ac:dyDescent="0.3">
      <c r="A7" s="681"/>
      <c r="B7" s="145" t="s">
        <v>647</v>
      </c>
      <c r="C7" s="442">
        <v>300</v>
      </c>
      <c r="D7" s="443">
        <v>0</v>
      </c>
      <c r="E7" s="442">
        <v>0</v>
      </c>
      <c r="F7" s="391">
        <v>0</v>
      </c>
      <c r="G7" s="444">
        <v>0</v>
      </c>
      <c r="H7" s="445">
        <f t="shared" si="0"/>
        <v>-300</v>
      </c>
      <c r="I7" s="442">
        <f>SUMIFS('Cashbook ING'!$B:$B, 'Cashbook ING'!$A:$A, "FMW_")*-1</f>
        <v>0</v>
      </c>
      <c r="J7" s="442">
        <v>0</v>
      </c>
      <c r="K7" s="442">
        <v>0</v>
      </c>
      <c r="L7" s="445">
        <f t="shared" si="1"/>
        <v>0</v>
      </c>
      <c r="M7" s="445">
        <f t="shared" si="2"/>
        <v>300</v>
      </c>
    </row>
    <row r="8" spans="1:13" ht="27.75" customHeight="1" x14ac:dyDescent="0.3">
      <c r="A8" s="681"/>
      <c r="B8" s="145" t="s">
        <v>648</v>
      </c>
      <c r="C8" s="442">
        <v>200</v>
      </c>
      <c r="D8" s="443">
        <v>0</v>
      </c>
      <c r="E8" s="442">
        <v>0</v>
      </c>
      <c r="F8" s="391">
        <v>0</v>
      </c>
      <c r="G8" s="444">
        <v>200</v>
      </c>
      <c r="H8" s="445">
        <f t="shared" si="0"/>
        <v>0</v>
      </c>
      <c r="I8" s="442">
        <f>SUMIFS('Cashbook ING'!$B:$B, 'Cashbook ING'!$A:$A, "FMW_")*-1</f>
        <v>0</v>
      </c>
      <c r="J8" s="442">
        <v>0</v>
      </c>
      <c r="K8" s="442">
        <v>0</v>
      </c>
      <c r="L8" s="445">
        <f t="shared" si="1"/>
        <v>0</v>
      </c>
      <c r="M8" s="445">
        <f t="shared" si="2"/>
        <v>0</v>
      </c>
    </row>
    <row r="9" spans="1:13" ht="27.75" customHeight="1" x14ac:dyDescent="0.3">
      <c r="A9" s="681"/>
      <c r="B9" s="145" t="s">
        <v>649</v>
      </c>
      <c r="C9" s="442">
        <v>250</v>
      </c>
      <c r="D9" s="443">
        <v>0</v>
      </c>
      <c r="E9" s="442">
        <v>0</v>
      </c>
      <c r="F9" s="391">
        <v>0</v>
      </c>
      <c r="G9" s="444">
        <v>0</v>
      </c>
      <c r="H9" s="445">
        <f t="shared" si="0"/>
        <v>-250</v>
      </c>
      <c r="I9" s="442">
        <f>SUMIFS('Cashbook ING'!$B:$B, 'Cashbook ING'!$A:$A, "FMW_")*-1</f>
        <v>0</v>
      </c>
      <c r="J9" s="442">
        <v>0</v>
      </c>
      <c r="K9" s="442">
        <v>0</v>
      </c>
      <c r="L9" s="445">
        <f t="shared" si="1"/>
        <v>0</v>
      </c>
      <c r="M9" s="445">
        <f t="shared" si="2"/>
        <v>250</v>
      </c>
    </row>
    <row r="10" spans="1:13" ht="27.75" customHeight="1" x14ac:dyDescent="0.3">
      <c r="A10" s="681"/>
      <c r="B10" s="145" t="s">
        <v>638</v>
      </c>
      <c r="C10" s="442">
        <v>1500</v>
      </c>
      <c r="D10" s="443">
        <v>0</v>
      </c>
      <c r="E10" s="442">
        <v>0</v>
      </c>
      <c r="F10" s="391">
        <v>0</v>
      </c>
      <c r="G10" s="444">
        <v>0</v>
      </c>
      <c r="H10" s="445">
        <f t="shared" si="0"/>
        <v>-1500</v>
      </c>
      <c r="I10" s="442">
        <f>SUMIFS('Cashbook ING'!$B:$B, 'Cashbook ING'!$A:$A, "FMW_Unforeseen")*-1</f>
        <v>0</v>
      </c>
      <c r="J10" s="442">
        <v>0</v>
      </c>
      <c r="K10" s="442">
        <v>0</v>
      </c>
      <c r="L10" s="445">
        <f t="shared" si="1"/>
        <v>0</v>
      </c>
      <c r="M10" s="445">
        <f t="shared" si="2"/>
        <v>1500</v>
      </c>
    </row>
    <row r="11" spans="1:13" ht="27.75" customHeight="1" x14ac:dyDescent="0.3">
      <c r="A11" s="681"/>
      <c r="B11" s="145" t="s">
        <v>650</v>
      </c>
      <c r="C11" s="442">
        <v>0</v>
      </c>
      <c r="D11" s="443">
        <v>180</v>
      </c>
      <c r="E11" s="442">
        <v>15</v>
      </c>
      <c r="F11" s="391">
        <f t="shared" ref="F11:F12" si="3">E11*D11</f>
        <v>2700</v>
      </c>
      <c r="G11" s="395">
        <v>0</v>
      </c>
      <c r="H11" s="445">
        <f t="shared" si="0"/>
        <v>2700</v>
      </c>
      <c r="I11" s="442">
        <v>0</v>
      </c>
      <c r="J11" s="442">
        <f>SUMIFS('Cashbook Wix'!$B$2:$B$7106,'Cashbook Wix'!$A$2:$A$7106,"FMW_")</f>
        <v>0</v>
      </c>
      <c r="K11" s="442">
        <v>0</v>
      </c>
      <c r="L11" s="445">
        <f t="shared" si="1"/>
        <v>0</v>
      </c>
      <c r="M11" s="445">
        <f t="shared" si="2"/>
        <v>-2700</v>
      </c>
    </row>
    <row r="12" spans="1:13" ht="27.75" customHeight="1" x14ac:dyDescent="0.3">
      <c r="A12" s="682"/>
      <c r="B12" s="145" t="s">
        <v>651</v>
      </c>
      <c r="C12" s="442">
        <v>0</v>
      </c>
      <c r="D12" s="443">
        <v>180</v>
      </c>
      <c r="E12" s="442">
        <v>50</v>
      </c>
      <c r="F12" s="391">
        <f t="shared" si="3"/>
        <v>9000</v>
      </c>
      <c r="G12" s="395">
        <v>0</v>
      </c>
      <c r="H12" s="445">
        <f t="shared" si="0"/>
        <v>9000</v>
      </c>
      <c r="I12" s="442">
        <v>0</v>
      </c>
      <c r="J12" s="442">
        <f>SUMIFS('Cashbook Wix'!$B$2:$B$7106,'Cashbook Wix'!$A$2:$A$7106,"FMW_")</f>
        <v>0</v>
      </c>
      <c r="K12" s="442">
        <v>0</v>
      </c>
      <c r="L12" s="445">
        <f t="shared" si="1"/>
        <v>0</v>
      </c>
      <c r="M12" s="445">
        <f t="shared" si="2"/>
        <v>-9000</v>
      </c>
    </row>
    <row r="13" spans="1:13" ht="27.75" customHeight="1" x14ac:dyDescent="0.3">
      <c r="A13" s="446"/>
      <c r="B13" s="447" t="s">
        <v>502</v>
      </c>
      <c r="C13" s="448">
        <f>SUM(C3:C12)</f>
        <v>24850</v>
      </c>
      <c r="D13" s="449">
        <f>SUM(D12)</f>
        <v>180</v>
      </c>
      <c r="E13" s="450">
        <v>0</v>
      </c>
      <c r="F13" s="448">
        <f t="shared" ref="F13:M13" si="4">SUM(F3:F12)</f>
        <v>11700</v>
      </c>
      <c r="G13" s="448">
        <f t="shared" si="4"/>
        <v>13300</v>
      </c>
      <c r="H13" s="451">
        <f t="shared" si="4"/>
        <v>150</v>
      </c>
      <c r="I13" s="450">
        <f t="shared" si="4"/>
        <v>0</v>
      </c>
      <c r="J13" s="450">
        <f t="shared" si="4"/>
        <v>0</v>
      </c>
      <c r="K13" s="450">
        <f t="shared" si="4"/>
        <v>0</v>
      </c>
      <c r="L13" s="447">
        <f t="shared" si="4"/>
        <v>0</v>
      </c>
      <c r="M13" s="447">
        <f t="shared" si="4"/>
        <v>-150</v>
      </c>
    </row>
    <row r="14" spans="1:13" ht="27.75" customHeight="1" x14ac:dyDescent="0.2"/>
    <row r="15" spans="1:13" ht="27.75" customHeight="1" x14ac:dyDescent="0.2"/>
    <row r="16" spans="1:13" ht="27.75" customHeight="1" x14ac:dyDescent="0.3">
      <c r="B16" s="416"/>
    </row>
    <row r="17" ht="27.75" customHeight="1" x14ac:dyDescent="0.2"/>
    <row r="18" ht="14.25" customHeight="1" x14ac:dyDescent="0.2"/>
    <row r="19" ht="14.25" customHeight="1" x14ac:dyDescent="0.2"/>
    <row r="20" ht="14.25" customHeight="1" x14ac:dyDescent="0.2"/>
    <row r="21" ht="14.25" customHeight="1" x14ac:dyDescent="0.2"/>
    <row r="22" ht="21.7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5">
    <mergeCell ref="A1:A2"/>
    <mergeCell ref="B1:B2"/>
    <mergeCell ref="C1:H1"/>
    <mergeCell ref="I1:M1"/>
    <mergeCell ref="A3:A12"/>
  </mergeCells>
  <conditionalFormatting sqref="A1:C1 I1:M1 A2 H2 L2:M2">
    <cfRule type="cellIs" dxfId="17" priority="1" operator="lessThan">
      <formula>0</formula>
    </cfRule>
  </conditionalFormatting>
  <conditionalFormatting sqref="B3:B12">
    <cfRule type="cellIs" dxfId="16" priority="2" operator="lessThan">
      <formula>0</formula>
    </cfRule>
  </conditionalFormatting>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72B62"/>
  </sheetPr>
  <dimension ref="A1:Z1000"/>
  <sheetViews>
    <sheetView zoomScale="50" workbookViewId="0">
      <pane xSplit="1" ySplit="2" topLeftCell="B3" activePane="bottomRight" state="frozen"/>
      <selection pane="topRight" activeCell="B1" sqref="B1"/>
      <selection pane="bottomLeft" activeCell="A3" sqref="A3"/>
      <selection pane="bottomRight" activeCell="E20" sqref="E20"/>
    </sheetView>
  </sheetViews>
  <sheetFormatPr baseColWidth="10" defaultColWidth="14.5" defaultRowHeight="15" customHeight="1" x14ac:dyDescent="0.2"/>
  <cols>
    <col min="1" max="1" width="29.5" customWidth="1"/>
    <col min="2" max="2" width="37.6640625" customWidth="1"/>
    <col min="3" max="3" width="36.1640625" customWidth="1"/>
    <col min="4" max="4" width="22.5" customWidth="1"/>
    <col min="5" max="12" width="27.6640625" customWidth="1"/>
    <col min="13" max="13" width="31.33203125" customWidth="1"/>
    <col min="14" max="14" width="22.5" customWidth="1"/>
    <col min="15" max="26" width="8.83203125" customWidth="1"/>
  </cols>
  <sheetData>
    <row r="1" spans="1:26" ht="27.75" customHeight="1" x14ac:dyDescent="0.25">
      <c r="A1" s="606" t="s">
        <v>459</v>
      </c>
      <c r="B1" s="608" t="s">
        <v>460</v>
      </c>
      <c r="C1" s="609" t="s">
        <v>381</v>
      </c>
      <c r="D1" s="610"/>
      <c r="E1" s="610"/>
      <c r="F1" s="610"/>
      <c r="G1" s="610"/>
      <c r="H1" s="611"/>
      <c r="I1" s="612" t="s">
        <v>503</v>
      </c>
      <c r="J1" s="610"/>
      <c r="K1" s="610"/>
      <c r="L1" s="610"/>
      <c r="M1" s="611"/>
    </row>
    <row r="2" spans="1:26" ht="27.75" customHeight="1" x14ac:dyDescent="0.25">
      <c r="A2" s="607"/>
      <c r="B2" s="623"/>
      <c r="C2" s="129" t="s">
        <v>381</v>
      </c>
      <c r="D2" s="130" t="s">
        <v>504</v>
      </c>
      <c r="E2" s="131" t="s">
        <v>505</v>
      </c>
      <c r="F2" s="132" t="s">
        <v>652</v>
      </c>
      <c r="G2" s="133" t="s">
        <v>385</v>
      </c>
      <c r="H2" s="134"/>
      <c r="I2" s="135" t="s">
        <v>381</v>
      </c>
      <c r="J2" s="136" t="s">
        <v>384</v>
      </c>
      <c r="K2" s="137" t="s">
        <v>385</v>
      </c>
      <c r="L2" s="138"/>
      <c r="M2" s="139"/>
    </row>
    <row r="3" spans="1:26" ht="27.75" customHeight="1" x14ac:dyDescent="0.3">
      <c r="A3" s="680" t="s">
        <v>440</v>
      </c>
      <c r="B3" s="452" t="s">
        <v>516</v>
      </c>
      <c r="C3" s="444">
        <v>8000</v>
      </c>
      <c r="D3" s="453">
        <v>0</v>
      </c>
      <c r="E3" s="442">
        <v>0</v>
      </c>
      <c r="F3" s="442">
        <v>0</v>
      </c>
      <c r="G3" s="454">
        <v>7500</v>
      </c>
      <c r="H3" s="445">
        <f t="shared" ref="H3:H12" si="0">F3+G3-C3</f>
        <v>-500</v>
      </c>
      <c r="I3" s="442">
        <f>SUMIFS('Cashbook ING'!$B:$B, 'Cashbook ING'!$A:$A, "TYW_Location")</f>
        <v>-1362.5</v>
      </c>
      <c r="J3" s="442">
        <v>0</v>
      </c>
      <c r="K3" s="391">
        <v>0</v>
      </c>
      <c r="L3" s="445">
        <f t="shared" ref="L3:L7" si="1">K3+J3+I3</f>
        <v>-1362.5</v>
      </c>
      <c r="M3" s="445">
        <f t="shared" ref="M3:M12" si="2">L3-H3</f>
        <v>-862.5</v>
      </c>
    </row>
    <row r="4" spans="1:26" ht="27.75" customHeight="1" x14ac:dyDescent="0.3">
      <c r="A4" s="681"/>
      <c r="B4" s="452" t="s">
        <v>646</v>
      </c>
      <c r="C4" s="444">
        <v>2900</v>
      </c>
      <c r="D4" s="453">
        <v>0</v>
      </c>
      <c r="E4" s="442">
        <v>0</v>
      </c>
      <c r="F4" s="442">
        <v>0</v>
      </c>
      <c r="G4" s="442">
        <v>0</v>
      </c>
      <c r="H4" s="445">
        <f t="shared" si="0"/>
        <v>-2900</v>
      </c>
      <c r="I4" s="442">
        <f>SUMIFS('Cashbook ING'!$B:$B, 'Cashbook ING'!$A:$A, "TYW_Transport")</f>
        <v>0</v>
      </c>
      <c r="J4" s="442">
        <v>0</v>
      </c>
      <c r="K4" s="442">
        <v>0</v>
      </c>
      <c r="L4" s="445">
        <f t="shared" si="1"/>
        <v>0</v>
      </c>
      <c r="M4" s="445">
        <f t="shared" si="2"/>
        <v>2900</v>
      </c>
    </row>
    <row r="5" spans="1:26" ht="27.75" customHeight="1" x14ac:dyDescent="0.3">
      <c r="A5" s="681"/>
      <c r="B5" s="452" t="s">
        <v>517</v>
      </c>
      <c r="C5" s="444">
        <v>1800</v>
      </c>
      <c r="D5" s="453">
        <v>0</v>
      </c>
      <c r="E5" s="442">
        <v>0</v>
      </c>
      <c r="F5" s="442">
        <v>0</v>
      </c>
      <c r="G5" s="442">
        <v>0</v>
      </c>
      <c r="H5" s="445">
        <f t="shared" si="0"/>
        <v>-1800</v>
      </c>
      <c r="I5" s="442">
        <f>SUMIFS('Cashbook ING'!$B:$B, 'Cashbook ING'!$A:$A, "TYW_Drinks")</f>
        <v>0</v>
      </c>
      <c r="J5" s="442">
        <v>0</v>
      </c>
      <c r="K5" s="442">
        <v>0</v>
      </c>
      <c r="L5" s="445">
        <f t="shared" si="1"/>
        <v>0</v>
      </c>
      <c r="M5" s="445">
        <f t="shared" si="2"/>
        <v>1800</v>
      </c>
    </row>
    <row r="6" spans="1:26" ht="27.75" customHeight="1" x14ac:dyDescent="0.3">
      <c r="A6" s="681"/>
      <c r="B6" s="452" t="s">
        <v>593</v>
      </c>
      <c r="C6" s="444">
        <v>3000</v>
      </c>
      <c r="D6" s="453">
        <v>0</v>
      </c>
      <c r="E6" s="442">
        <v>0</v>
      </c>
      <c r="F6" s="442">
        <v>0</v>
      </c>
      <c r="G6" s="444">
        <v>1500</v>
      </c>
      <c r="H6" s="445">
        <f t="shared" si="0"/>
        <v>-1500</v>
      </c>
      <c r="I6" s="442">
        <f>SUMIFS('Cashbook ING'!$B:$B, 'Cashbook ING'!$A:$A, "TYW_Food")</f>
        <v>0</v>
      </c>
      <c r="J6" s="442">
        <v>0</v>
      </c>
      <c r="K6" s="442">
        <v>0</v>
      </c>
      <c r="L6" s="445">
        <f t="shared" si="1"/>
        <v>0</v>
      </c>
      <c r="M6" s="445">
        <f t="shared" si="2"/>
        <v>1500</v>
      </c>
    </row>
    <row r="7" spans="1:26" ht="27.75" customHeight="1" x14ac:dyDescent="0.3">
      <c r="A7" s="681"/>
      <c r="B7" s="452" t="s">
        <v>653</v>
      </c>
      <c r="C7" s="444">
        <v>90</v>
      </c>
      <c r="D7" s="453">
        <v>0</v>
      </c>
      <c r="E7" s="442">
        <v>0</v>
      </c>
      <c r="F7" s="442">
        <v>0</v>
      </c>
      <c r="G7" s="442">
        <v>0</v>
      </c>
      <c r="H7" s="445">
        <f t="shared" si="0"/>
        <v>-90</v>
      </c>
      <c r="I7" s="442">
        <f>SUMIFS('Cashbook ING'!$B:$B, 'Cashbook ING'!$A:$A, "TYW_Cleaning")</f>
        <v>0</v>
      </c>
      <c r="J7" s="442">
        <v>0</v>
      </c>
      <c r="K7" s="442">
        <v>0</v>
      </c>
      <c r="L7" s="445">
        <f t="shared" si="1"/>
        <v>0</v>
      </c>
      <c r="M7" s="445">
        <f t="shared" si="2"/>
        <v>90</v>
      </c>
    </row>
    <row r="8" spans="1:26" ht="27.75" customHeight="1" x14ac:dyDescent="0.3">
      <c r="A8" s="681"/>
      <c r="B8" s="452" t="s">
        <v>654</v>
      </c>
      <c r="C8" s="444">
        <v>0</v>
      </c>
      <c r="D8" s="453">
        <v>0</v>
      </c>
      <c r="E8" s="442">
        <v>0</v>
      </c>
      <c r="F8" s="442">
        <v>0</v>
      </c>
      <c r="G8" s="442">
        <v>0</v>
      </c>
      <c r="H8" s="445">
        <f t="shared" si="0"/>
        <v>0</v>
      </c>
      <c r="I8" s="442">
        <v>0</v>
      </c>
      <c r="J8" s="442">
        <v>0</v>
      </c>
      <c r="K8" s="442">
        <v>0</v>
      </c>
      <c r="L8" s="445">
        <v>0</v>
      </c>
      <c r="M8" s="445">
        <f t="shared" si="2"/>
        <v>0</v>
      </c>
    </row>
    <row r="9" spans="1:26" ht="27.75" customHeight="1" x14ac:dyDescent="0.3">
      <c r="A9" s="681"/>
      <c r="B9" s="452" t="s">
        <v>655</v>
      </c>
      <c r="C9" s="444">
        <v>75</v>
      </c>
      <c r="D9" s="453">
        <v>0</v>
      </c>
      <c r="E9" s="442">
        <v>0</v>
      </c>
      <c r="F9" s="442">
        <v>0</v>
      </c>
      <c r="G9" s="442">
        <v>0</v>
      </c>
      <c r="H9" s="445">
        <f t="shared" si="0"/>
        <v>-75</v>
      </c>
      <c r="I9" s="442">
        <f>SUMIFS('Cashbook ING'!$B:$B, 'Cashbook ING'!$A:$A, "TYW_Activities")</f>
        <v>0</v>
      </c>
      <c r="J9" s="442">
        <v>0</v>
      </c>
      <c r="K9" s="442">
        <v>0</v>
      </c>
      <c r="L9" s="445">
        <f t="shared" ref="L9:L12" si="3">K9+J9+I9</f>
        <v>0</v>
      </c>
      <c r="M9" s="445">
        <f t="shared" si="2"/>
        <v>75</v>
      </c>
    </row>
    <row r="10" spans="1:26" ht="27.75" customHeight="1" x14ac:dyDescent="0.3">
      <c r="A10" s="681"/>
      <c r="B10" s="452" t="s">
        <v>638</v>
      </c>
      <c r="C10" s="444">
        <v>1000</v>
      </c>
      <c r="D10" s="453">
        <v>0</v>
      </c>
      <c r="E10" s="442">
        <v>0</v>
      </c>
      <c r="F10" s="442">
        <v>0</v>
      </c>
      <c r="G10" s="442">
        <v>0</v>
      </c>
      <c r="H10" s="445">
        <f t="shared" si="0"/>
        <v>-1000</v>
      </c>
      <c r="I10" s="442">
        <f>SUMIFS('Cashbook ING'!$B:$B, 'Cashbook ING'!$A:$A, "TYW_Unforseen") + SUMIFS('Cashbook ING'!$B:$B, 'Cashbook ING'!$A:$A, "TYW_Car")</f>
        <v>0</v>
      </c>
      <c r="J10" s="442">
        <v>0</v>
      </c>
      <c r="K10" s="442">
        <v>0</v>
      </c>
      <c r="L10" s="445">
        <f t="shared" si="3"/>
        <v>0</v>
      </c>
      <c r="M10" s="445">
        <f t="shared" si="2"/>
        <v>1000</v>
      </c>
    </row>
    <row r="11" spans="1:26" ht="27.75" customHeight="1" x14ac:dyDescent="0.3">
      <c r="A11" s="681"/>
      <c r="B11" s="452" t="s">
        <v>656</v>
      </c>
      <c r="C11" s="442">
        <v>0</v>
      </c>
      <c r="D11" s="443">
        <v>900</v>
      </c>
      <c r="E11" s="442">
        <v>1.25</v>
      </c>
      <c r="F11" s="442">
        <f>E11*D11</f>
        <v>1125</v>
      </c>
      <c r="G11" s="442">
        <v>0</v>
      </c>
      <c r="H11" s="445">
        <f t="shared" si="0"/>
        <v>1125</v>
      </c>
      <c r="I11" s="442">
        <v>0</v>
      </c>
      <c r="J11" s="442">
        <f>SUMIFS('Cashbook Wix'!B2:B7073,'Cashbook Wix'!A2:A7073,"TYW_DrinksSale") + SUMIFS('Cashbook ING'!B2:B6976,'Cashbook ING'!A2:A6976,"TYW_DrinksSale")</f>
        <v>0</v>
      </c>
      <c r="K11" s="442">
        <v>0</v>
      </c>
      <c r="L11" s="445">
        <f t="shared" si="3"/>
        <v>0</v>
      </c>
      <c r="M11" s="445">
        <f t="shared" si="2"/>
        <v>-1125</v>
      </c>
    </row>
    <row r="12" spans="1:26" ht="27.75" customHeight="1" x14ac:dyDescent="0.3">
      <c r="A12" s="682"/>
      <c r="B12" s="455" t="s">
        <v>657</v>
      </c>
      <c r="C12" s="442">
        <v>0</v>
      </c>
      <c r="D12" s="443">
        <v>90</v>
      </c>
      <c r="E12" s="442">
        <v>59</v>
      </c>
      <c r="F12" s="442">
        <f>D12*E12</f>
        <v>5310</v>
      </c>
      <c r="G12" s="442">
        <v>0</v>
      </c>
      <c r="H12" s="445">
        <f t="shared" si="0"/>
        <v>5310</v>
      </c>
      <c r="I12" s="442">
        <f>SUMIFS('Cashbook ING'!$B:$B, 'Cashbook ING'!$A:$A, "TYW_Tickets")</f>
        <v>0</v>
      </c>
      <c r="J12" s="442">
        <f>SUMIFS('Cashbook Wix'!$B$2:$B$7106,'Cashbook Wix'!$A$2:$A$7106,"TYW_Member")</f>
        <v>0</v>
      </c>
      <c r="K12" s="442">
        <v>0</v>
      </c>
      <c r="L12" s="445">
        <f t="shared" si="3"/>
        <v>0</v>
      </c>
      <c r="M12" s="445">
        <f t="shared" si="2"/>
        <v>-5310</v>
      </c>
    </row>
    <row r="13" spans="1:26" ht="27.75" customHeight="1" x14ac:dyDescent="0.35">
      <c r="A13" s="413"/>
      <c r="B13" s="456" t="s">
        <v>502</v>
      </c>
      <c r="C13" s="457">
        <f>SUM(C3:C12)</f>
        <v>16865</v>
      </c>
      <c r="D13" s="458">
        <v>100</v>
      </c>
      <c r="E13" s="457">
        <v>0</v>
      </c>
      <c r="F13" s="457">
        <f t="shared" ref="F13:M13" si="4">SUM(F3:F12)</f>
        <v>6435</v>
      </c>
      <c r="G13" s="457">
        <f t="shared" si="4"/>
        <v>9000</v>
      </c>
      <c r="H13" s="456">
        <f t="shared" si="4"/>
        <v>-1430</v>
      </c>
      <c r="I13" s="459">
        <f t="shared" si="4"/>
        <v>-1362.5</v>
      </c>
      <c r="J13" s="459">
        <f t="shared" si="4"/>
        <v>0</v>
      </c>
      <c r="K13" s="459">
        <f t="shared" si="4"/>
        <v>0</v>
      </c>
      <c r="L13" s="460">
        <f t="shared" si="4"/>
        <v>-1362.5</v>
      </c>
      <c r="M13" s="460">
        <f t="shared" si="4"/>
        <v>67.5</v>
      </c>
      <c r="N13" s="461"/>
      <c r="O13" s="165"/>
      <c r="P13" s="165"/>
      <c r="Q13" s="165"/>
      <c r="R13" s="165"/>
      <c r="S13" s="165"/>
      <c r="T13" s="165"/>
      <c r="U13" s="165"/>
      <c r="V13" s="165"/>
      <c r="W13" s="165"/>
      <c r="X13" s="165"/>
      <c r="Y13" s="165"/>
      <c r="Z13" s="165"/>
    </row>
    <row r="14" spans="1:26" ht="27.75" customHeight="1" x14ac:dyDescent="0.3">
      <c r="A14" s="28"/>
      <c r="B14" s="28"/>
      <c r="C14" s="28"/>
      <c r="D14" s="384"/>
      <c r="E14" s="28"/>
      <c r="F14" s="28"/>
      <c r="G14" s="28"/>
      <c r="H14" s="28"/>
      <c r="I14" s="28"/>
      <c r="J14" s="28"/>
      <c r="K14" s="28"/>
      <c r="L14" s="28"/>
      <c r="M14" s="28"/>
    </row>
    <row r="15" spans="1:26" ht="27.75" customHeight="1" x14ac:dyDescent="0.3">
      <c r="A15" s="28"/>
      <c r="B15" s="28"/>
      <c r="C15" s="28"/>
      <c r="D15" s="28"/>
      <c r="E15" s="28"/>
      <c r="F15" s="28"/>
      <c r="G15" s="28"/>
      <c r="H15" s="28"/>
      <c r="I15" s="28"/>
      <c r="J15" s="28"/>
      <c r="K15" s="28"/>
      <c r="L15" s="28"/>
      <c r="M15" s="28"/>
    </row>
    <row r="16" spans="1:26" ht="14.25" customHeight="1" x14ac:dyDescent="0.3">
      <c r="A16" s="28"/>
      <c r="B16" s="28"/>
      <c r="C16" s="28"/>
      <c r="D16" s="28"/>
      <c r="E16" s="28"/>
      <c r="F16" s="179"/>
      <c r="G16" s="28"/>
      <c r="H16" s="28"/>
      <c r="I16" s="28"/>
      <c r="J16" s="28"/>
      <c r="K16" s="28"/>
      <c r="L16" s="28"/>
      <c r="M16" s="28"/>
    </row>
    <row r="17" spans="1:13" ht="14.25" customHeight="1" x14ac:dyDescent="0.3">
      <c r="A17" s="28"/>
      <c r="B17" s="28"/>
      <c r="C17" s="28"/>
      <c r="D17" s="28"/>
      <c r="E17" s="28"/>
      <c r="F17" s="28"/>
      <c r="G17" s="28"/>
      <c r="H17" s="28"/>
      <c r="I17" s="28"/>
      <c r="J17" s="28"/>
      <c r="K17" s="28"/>
      <c r="L17" s="28"/>
      <c r="M17" s="28"/>
    </row>
    <row r="18" spans="1:13" ht="14.25" customHeight="1" x14ac:dyDescent="0.3">
      <c r="A18" s="28"/>
      <c r="B18" s="28"/>
      <c r="C18" s="28"/>
      <c r="D18" s="28"/>
      <c r="E18" s="28"/>
      <c r="F18" s="28"/>
      <c r="G18" s="28"/>
      <c r="H18" s="28"/>
      <c r="I18" s="28"/>
      <c r="J18" s="28"/>
      <c r="K18" s="28"/>
      <c r="L18" s="28"/>
      <c r="M18" s="28"/>
    </row>
    <row r="19" spans="1:13" ht="14.25" customHeight="1" x14ac:dyDescent="0.3">
      <c r="A19" s="28"/>
      <c r="B19" s="28"/>
      <c r="C19" s="28"/>
      <c r="D19" s="28"/>
      <c r="E19" s="28"/>
      <c r="F19" s="28"/>
      <c r="G19" s="28"/>
      <c r="H19" s="28"/>
      <c r="I19" s="28"/>
      <c r="J19" s="28"/>
      <c r="K19" s="28"/>
      <c r="L19" s="28"/>
      <c r="M19" s="28"/>
    </row>
    <row r="20" spans="1:13" ht="14.25" customHeight="1" x14ac:dyDescent="0.3">
      <c r="A20" s="28"/>
      <c r="B20" s="28"/>
      <c r="C20" s="28"/>
      <c r="D20" s="28"/>
      <c r="E20" s="28"/>
      <c r="F20" s="28"/>
      <c r="G20" s="28"/>
      <c r="H20" s="28"/>
      <c r="I20" s="28"/>
      <c r="J20" s="28"/>
      <c r="K20" s="28"/>
      <c r="L20" s="28"/>
      <c r="M20" s="28"/>
    </row>
    <row r="21" spans="1:13" ht="15.75" customHeight="1" x14ac:dyDescent="0.2"/>
    <row r="22" spans="1:13" ht="15.75" customHeight="1" x14ac:dyDescent="0.2"/>
    <row r="23" spans="1:13" ht="15.75" customHeight="1" x14ac:dyDescent="0.2"/>
    <row r="24" spans="1:13" ht="15.75" customHeight="1" x14ac:dyDescent="0.2"/>
    <row r="25" spans="1:13" ht="15.75" customHeight="1" x14ac:dyDescent="0.2"/>
    <row r="26" spans="1:13" ht="15.75" customHeight="1" x14ac:dyDescent="0.2"/>
    <row r="27" spans="1:13" ht="15.75" customHeight="1" x14ac:dyDescent="0.2"/>
    <row r="28" spans="1:13" ht="15.75" customHeight="1" x14ac:dyDescent="0.2"/>
    <row r="29" spans="1:13" ht="15.75" customHeight="1" x14ac:dyDescent="0.2"/>
    <row r="30" spans="1:13" ht="15.75" customHeight="1" x14ac:dyDescent="0.2"/>
    <row r="31" spans="1:13" ht="15.75" customHeight="1" x14ac:dyDescent="0.2"/>
    <row r="32" spans="1:13" ht="15.75" customHeight="1" x14ac:dyDescent="0.2"/>
    <row r="33" ht="15.75" customHeight="1" x14ac:dyDescent="0.2"/>
    <row r="34" ht="15.75" customHeight="1" x14ac:dyDescent="0.2"/>
    <row r="35" ht="15.75" customHeight="1" x14ac:dyDescent="0.2"/>
    <row r="36" ht="15.7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5">
    <mergeCell ref="A1:A2"/>
    <mergeCell ref="B1:B2"/>
    <mergeCell ref="C1:H1"/>
    <mergeCell ref="I1:M1"/>
    <mergeCell ref="A3:A12"/>
  </mergeCells>
  <conditionalFormatting sqref="A1:C1 I1:M1 A2 H2 L2:M2">
    <cfRule type="cellIs" dxfId="15" priority="1" operator="lessThan">
      <formula>0</formula>
    </cfRule>
  </conditionalFormatting>
  <conditionalFormatting sqref="N13">
    <cfRule type="cellIs" dxfId="14" priority="2" operator="lessThan">
      <formula>0</formula>
    </cfRule>
  </conditionalFormatting>
  <pageMargins left="0.7" right="0.7" top="0.78740157499999996" bottom="0.78740157499999996"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498DF1"/>
  </sheetPr>
  <dimension ref="A1:Z1000"/>
  <sheetViews>
    <sheetView workbookViewId="0">
      <selection sqref="A1:A2"/>
    </sheetView>
  </sheetViews>
  <sheetFormatPr baseColWidth="10" defaultColWidth="14.5" defaultRowHeight="15" customHeight="1" x14ac:dyDescent="0.2"/>
  <cols>
    <col min="1" max="1" width="18" customWidth="1"/>
    <col min="2" max="2" width="27" customWidth="1"/>
    <col min="3" max="3" width="29.33203125" customWidth="1"/>
    <col min="4" max="4" width="25.83203125" customWidth="1"/>
    <col min="5" max="5" width="34" customWidth="1"/>
    <col min="6" max="6" width="25.83203125" customWidth="1"/>
    <col min="7" max="7" width="21.5" customWidth="1"/>
    <col min="8" max="8" width="25.83203125" customWidth="1"/>
    <col min="9" max="9" width="39.33203125" customWidth="1"/>
    <col min="10" max="11" width="25.83203125" customWidth="1"/>
    <col min="12" max="26" width="8.83203125" customWidth="1"/>
  </cols>
  <sheetData>
    <row r="1" spans="1:26" ht="27.75" customHeight="1" x14ac:dyDescent="0.25">
      <c r="A1" s="606" t="s">
        <v>459</v>
      </c>
      <c r="B1" s="608" t="s">
        <v>460</v>
      </c>
      <c r="C1" s="609" t="s">
        <v>379</v>
      </c>
      <c r="D1" s="610"/>
      <c r="E1" s="610"/>
      <c r="F1" s="611"/>
      <c r="G1" s="612" t="s">
        <v>503</v>
      </c>
      <c r="H1" s="610"/>
      <c r="I1" s="610"/>
      <c r="J1" s="610"/>
      <c r="K1" s="611"/>
    </row>
    <row r="2" spans="1:26" ht="27.75" customHeight="1" x14ac:dyDescent="0.25">
      <c r="A2" s="607"/>
      <c r="B2" s="623"/>
      <c r="C2" s="129" t="s">
        <v>658</v>
      </c>
      <c r="D2" s="130" t="s">
        <v>384</v>
      </c>
      <c r="E2" s="131" t="s">
        <v>456</v>
      </c>
      <c r="F2" s="462" t="s">
        <v>386</v>
      </c>
      <c r="G2" s="133" t="s">
        <v>381</v>
      </c>
      <c r="H2" s="134" t="s">
        <v>384</v>
      </c>
      <c r="I2" s="135" t="s">
        <v>456</v>
      </c>
      <c r="J2" s="136" t="s">
        <v>386</v>
      </c>
      <c r="K2" s="137"/>
    </row>
    <row r="3" spans="1:26" ht="27.75" customHeight="1" x14ac:dyDescent="0.3">
      <c r="A3" s="683" t="s">
        <v>444</v>
      </c>
      <c r="B3" s="445" t="s">
        <v>659</v>
      </c>
      <c r="C3" s="463">
        <v>3700</v>
      </c>
      <c r="D3" s="463">
        <v>0</v>
      </c>
      <c r="E3" s="464">
        <v>3700</v>
      </c>
      <c r="F3" s="465">
        <f t="shared" ref="F3:F4" si="0">D3+E3-C3</f>
        <v>0</v>
      </c>
      <c r="G3" s="463">
        <f>SUMIFS('Cashbook ING'!$B:$B, 'Cashbook ING'!$A:$A, "YB_Books")</f>
        <v>0</v>
      </c>
      <c r="H3" s="463">
        <f>SUMIFS('Cashbook Wix'!$B$2:$B$7106,'Cashbook Wix'!$A$2:$A$7106,"YB_Books")</f>
        <v>0</v>
      </c>
      <c r="I3" s="463">
        <v>0</v>
      </c>
      <c r="J3" s="465">
        <f t="shared" ref="J3:J4" si="1">H3+I3+G3</f>
        <v>0</v>
      </c>
      <c r="K3" s="465">
        <f t="shared" ref="K3:K4" si="2">J3-F3</f>
        <v>0</v>
      </c>
    </row>
    <row r="4" spans="1:26" ht="27.75" customHeight="1" x14ac:dyDescent="0.3">
      <c r="A4" s="623"/>
      <c r="B4" s="466" t="s">
        <v>553</v>
      </c>
      <c r="C4" s="467">
        <v>15</v>
      </c>
      <c r="D4" s="468">
        <v>0</v>
      </c>
      <c r="E4" s="467">
        <v>15</v>
      </c>
      <c r="F4" s="469">
        <f t="shared" si="0"/>
        <v>0</v>
      </c>
      <c r="G4" s="468">
        <f>SUMIFS('Cashbook ING'!$B:$B, 'Cashbook ING'!$A:$A, "YB_Photos")</f>
        <v>0</v>
      </c>
      <c r="H4" s="468">
        <v>0</v>
      </c>
      <c r="I4" s="470">
        <v>0</v>
      </c>
      <c r="J4" s="469">
        <f t="shared" si="1"/>
        <v>0</v>
      </c>
      <c r="K4" s="469">
        <f t="shared" si="2"/>
        <v>0</v>
      </c>
    </row>
    <row r="5" spans="1:26" ht="27.75" customHeight="1" x14ac:dyDescent="0.35">
      <c r="A5" s="471"/>
      <c r="B5" s="472" t="s">
        <v>502</v>
      </c>
      <c r="C5" s="473">
        <f t="shared" ref="C5:H5" si="3">SUM(C3:C4)</f>
        <v>3715</v>
      </c>
      <c r="D5" s="473">
        <f t="shared" si="3"/>
        <v>0</v>
      </c>
      <c r="E5" s="473">
        <f t="shared" si="3"/>
        <v>3715</v>
      </c>
      <c r="F5" s="472">
        <f t="shared" si="3"/>
        <v>0</v>
      </c>
      <c r="G5" s="473">
        <f t="shared" si="3"/>
        <v>0</v>
      </c>
      <c r="H5" s="473">
        <f t="shared" si="3"/>
        <v>0</v>
      </c>
      <c r="I5" s="473">
        <f>IF(E5=0, 0,IF(AND(E5&gt;0,E5&lt;G5),E5,G5))</f>
        <v>0</v>
      </c>
      <c r="J5" s="472">
        <f t="shared" ref="J5:K5" si="4">SUM(J3:J4)</f>
        <v>0</v>
      </c>
      <c r="K5" s="472">
        <f t="shared" si="4"/>
        <v>0</v>
      </c>
      <c r="L5" s="165"/>
      <c r="M5" s="165"/>
      <c r="N5" s="165"/>
      <c r="O5" s="165"/>
      <c r="P5" s="165"/>
      <c r="Q5" s="165"/>
      <c r="R5" s="165"/>
      <c r="S5" s="165"/>
      <c r="T5" s="165"/>
      <c r="U5" s="165"/>
      <c r="V5" s="165"/>
      <c r="W5" s="165"/>
      <c r="X5" s="165"/>
      <c r="Y5" s="165"/>
      <c r="Z5" s="165"/>
    </row>
    <row r="6" spans="1:26" ht="27.75" customHeight="1" x14ac:dyDescent="0.2">
      <c r="A6" s="474"/>
    </row>
    <row r="7" spans="1:26" ht="27.75" customHeight="1" x14ac:dyDescent="0.2">
      <c r="A7" s="474"/>
    </row>
    <row r="8" spans="1:26" ht="27.75" customHeight="1" x14ac:dyDescent="0.2">
      <c r="A8" s="474"/>
    </row>
    <row r="9" spans="1:26" ht="27.75" customHeight="1" x14ac:dyDescent="0.2">
      <c r="A9" s="474"/>
    </row>
    <row r="10" spans="1:26" ht="27.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1:A2"/>
    <mergeCell ref="B1:B2"/>
    <mergeCell ref="C1:F1"/>
    <mergeCell ref="G1:K1"/>
    <mergeCell ref="A3:A4"/>
  </mergeCells>
  <conditionalFormatting sqref="A1:C1 A2 H2">
    <cfRule type="cellIs" dxfId="13" priority="1" operator="lessThan">
      <formula>0</formula>
    </cfRule>
  </conditionalFormatting>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84B2F6"/>
  </sheetPr>
  <dimension ref="A1:Z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4.5" defaultRowHeight="15" customHeight="1" x14ac:dyDescent="0.2"/>
  <cols>
    <col min="1" max="1" width="39.1640625" customWidth="1"/>
    <col min="2" max="2" width="37.1640625" customWidth="1"/>
    <col min="3" max="3" width="22.6640625" customWidth="1"/>
    <col min="4" max="4" width="16.83203125" customWidth="1"/>
    <col min="5" max="6" width="22.6640625" customWidth="1"/>
    <col min="7" max="7" width="29.6640625" customWidth="1"/>
    <col min="8" max="8" width="29.5" customWidth="1"/>
    <col min="9" max="13" width="22.6640625" customWidth="1"/>
    <col min="14" max="26" width="11.5" customWidth="1"/>
  </cols>
  <sheetData>
    <row r="1" spans="1:26" ht="27.75" customHeight="1" x14ac:dyDescent="0.25">
      <c r="A1" s="606" t="s">
        <v>459</v>
      </c>
      <c r="B1" s="608" t="s">
        <v>460</v>
      </c>
      <c r="C1" s="609" t="s">
        <v>379</v>
      </c>
      <c r="D1" s="610"/>
      <c r="E1" s="610"/>
      <c r="F1" s="610"/>
      <c r="G1" s="610"/>
      <c r="H1" s="611"/>
      <c r="I1" s="612" t="s">
        <v>503</v>
      </c>
      <c r="J1" s="610"/>
      <c r="K1" s="610"/>
      <c r="L1" s="610"/>
      <c r="M1" s="611"/>
    </row>
    <row r="2" spans="1:26" ht="27.75" customHeight="1" x14ac:dyDescent="0.25">
      <c r="A2" s="607"/>
      <c r="B2" s="623"/>
      <c r="C2" s="129" t="s">
        <v>381</v>
      </c>
      <c r="D2" s="130" t="s">
        <v>504</v>
      </c>
      <c r="E2" s="131" t="s">
        <v>505</v>
      </c>
      <c r="F2" s="132" t="s">
        <v>384</v>
      </c>
      <c r="G2" s="133" t="s">
        <v>456</v>
      </c>
      <c r="H2" s="134" t="s">
        <v>386</v>
      </c>
      <c r="I2" s="135" t="s">
        <v>381</v>
      </c>
      <c r="J2" s="136" t="s">
        <v>384</v>
      </c>
      <c r="K2" s="137" t="s">
        <v>456</v>
      </c>
      <c r="L2" s="138" t="s">
        <v>386</v>
      </c>
      <c r="M2" s="139" t="s">
        <v>457</v>
      </c>
    </row>
    <row r="3" spans="1:26" ht="27.75" customHeight="1" x14ac:dyDescent="0.3">
      <c r="A3" s="684" t="s">
        <v>82</v>
      </c>
      <c r="B3" s="390" t="s">
        <v>660</v>
      </c>
      <c r="C3" s="226">
        <v>700</v>
      </c>
      <c r="D3" s="227">
        <v>0</v>
      </c>
      <c r="E3" s="226">
        <v>0</v>
      </c>
      <c r="F3" s="226">
        <v>0</v>
      </c>
      <c r="G3" s="226">
        <v>0</v>
      </c>
      <c r="H3" s="145">
        <f t="shared" ref="H3:H9" si="0">F3+G3-C3</f>
        <v>-700</v>
      </c>
      <c r="I3" s="226">
        <f>SUMIFS('Cashbook ING'!$B:$B, 'Cashbook ING'!$A:$A, "AIMW_")</f>
        <v>0</v>
      </c>
      <c r="J3" s="226">
        <v>0</v>
      </c>
      <c r="K3" s="226">
        <v>0</v>
      </c>
      <c r="L3" s="343">
        <f>J3+K3+I3</f>
        <v>0</v>
      </c>
      <c r="M3" s="343">
        <f t="shared" ref="M3:M9" si="1">L3-H3</f>
        <v>700</v>
      </c>
    </row>
    <row r="4" spans="1:26" ht="27.75" customHeight="1" x14ac:dyDescent="0.3">
      <c r="A4" s="620"/>
      <c r="B4" s="392" t="s">
        <v>661</v>
      </c>
      <c r="C4" s="194">
        <v>1400</v>
      </c>
      <c r="D4" s="143">
        <v>0</v>
      </c>
      <c r="E4" s="194">
        <v>0</v>
      </c>
      <c r="F4" s="194">
        <v>0</v>
      </c>
      <c r="G4" s="194">
        <v>0</v>
      </c>
      <c r="H4" s="145">
        <f t="shared" si="0"/>
        <v>-1400</v>
      </c>
      <c r="I4" s="194">
        <f>SUMIFS('Cashbook ING'!$B:$B, 'Cashbook ING'!$A:$A, "AIMW_")</f>
        <v>0</v>
      </c>
      <c r="J4" s="194">
        <v>0</v>
      </c>
      <c r="K4" s="194">
        <v>0</v>
      </c>
      <c r="L4" s="145">
        <f t="shared" ref="L4:L7" si="2">K4+J4+I4</f>
        <v>0</v>
      </c>
      <c r="M4" s="145">
        <f t="shared" si="1"/>
        <v>1400</v>
      </c>
    </row>
    <row r="5" spans="1:26" ht="27.75" customHeight="1" x14ac:dyDescent="0.3">
      <c r="A5" s="620"/>
      <c r="B5" s="392" t="s">
        <v>662</v>
      </c>
      <c r="C5" s="194">
        <v>200</v>
      </c>
      <c r="D5" s="143">
        <v>0</v>
      </c>
      <c r="E5" s="194">
        <v>0</v>
      </c>
      <c r="F5" s="194">
        <v>0</v>
      </c>
      <c r="G5" s="194">
        <v>0</v>
      </c>
      <c r="H5" s="145">
        <f t="shared" si="0"/>
        <v>-200</v>
      </c>
      <c r="I5" s="194">
        <f>SUMIFS('Cashbook ING'!$B:$B, 'Cashbook ING'!$A:$A, "AIMW_")</f>
        <v>0</v>
      </c>
      <c r="J5" s="194">
        <v>0</v>
      </c>
      <c r="K5" s="194">
        <v>0</v>
      </c>
      <c r="L5" s="145">
        <f t="shared" si="2"/>
        <v>0</v>
      </c>
      <c r="M5" s="145">
        <f t="shared" si="1"/>
        <v>200</v>
      </c>
    </row>
    <row r="6" spans="1:26" ht="27.75" customHeight="1" x14ac:dyDescent="0.3">
      <c r="A6" s="620"/>
      <c r="B6" s="392" t="s">
        <v>663</v>
      </c>
      <c r="C6" s="194">
        <v>1500</v>
      </c>
      <c r="D6" s="143">
        <v>0</v>
      </c>
      <c r="E6" s="194">
        <v>0</v>
      </c>
      <c r="F6" s="194">
        <v>0</v>
      </c>
      <c r="G6" s="194">
        <v>0</v>
      </c>
      <c r="H6" s="145">
        <f t="shared" si="0"/>
        <v>-1500</v>
      </c>
      <c r="I6" s="194">
        <f>SUMIFS('Cashbook ING'!$B:$B, 'Cashbook ING'!$A:$A, "AIMW_")</f>
        <v>0</v>
      </c>
      <c r="J6" s="194">
        <v>0</v>
      </c>
      <c r="K6" s="194">
        <v>0</v>
      </c>
      <c r="L6" s="145">
        <f t="shared" si="2"/>
        <v>0</v>
      </c>
      <c r="M6" s="145">
        <f t="shared" si="1"/>
        <v>1500</v>
      </c>
    </row>
    <row r="7" spans="1:26" ht="27.75" customHeight="1" x14ac:dyDescent="0.3">
      <c r="A7" s="620"/>
      <c r="B7" s="394" t="s">
        <v>664</v>
      </c>
      <c r="C7" s="193">
        <v>1100</v>
      </c>
      <c r="D7" s="160">
        <v>0</v>
      </c>
      <c r="E7" s="193">
        <v>0</v>
      </c>
      <c r="F7" s="194">
        <v>0</v>
      </c>
      <c r="G7" s="194">
        <v>0</v>
      </c>
      <c r="H7" s="145">
        <f t="shared" si="0"/>
        <v>-1100</v>
      </c>
      <c r="I7" s="194">
        <f>SUMIFS('Cashbook ING'!$B:$B, 'Cashbook ING'!$A:$A, "AIMW_")</f>
        <v>0</v>
      </c>
      <c r="J7" s="194">
        <v>0</v>
      </c>
      <c r="K7" s="194">
        <v>0</v>
      </c>
      <c r="L7" s="145">
        <f t="shared" si="2"/>
        <v>0</v>
      </c>
      <c r="M7" s="145">
        <f t="shared" si="1"/>
        <v>1100</v>
      </c>
    </row>
    <row r="8" spans="1:26" ht="27.75" customHeight="1" x14ac:dyDescent="0.3">
      <c r="A8" s="620"/>
      <c r="B8" s="394" t="s">
        <v>550</v>
      </c>
      <c r="C8" s="193">
        <v>500</v>
      </c>
      <c r="D8" s="160">
        <v>0</v>
      </c>
      <c r="E8" s="193">
        <v>0</v>
      </c>
      <c r="F8" s="194">
        <v>0</v>
      </c>
      <c r="G8" s="194">
        <v>0</v>
      </c>
      <c r="H8" s="145">
        <f t="shared" si="0"/>
        <v>-500</v>
      </c>
      <c r="I8" s="194">
        <f>SUMIFS('Cashbook ING'!$B:$B, 'Cashbook ING'!$A:$A, "AIMW_")</f>
        <v>0</v>
      </c>
      <c r="J8" s="194">
        <v>0</v>
      </c>
      <c r="K8" s="194">
        <v>0</v>
      </c>
      <c r="L8" s="145">
        <f t="shared" ref="L8:L9" si="3">J8+K8+I8</f>
        <v>0</v>
      </c>
      <c r="M8" s="145">
        <f t="shared" si="1"/>
        <v>500</v>
      </c>
    </row>
    <row r="9" spans="1:26" ht="27.75" customHeight="1" x14ac:dyDescent="0.3">
      <c r="A9" s="620"/>
      <c r="B9" s="394" t="s">
        <v>665</v>
      </c>
      <c r="C9" s="193">
        <v>0</v>
      </c>
      <c r="D9" s="160">
        <v>200</v>
      </c>
      <c r="E9" s="193">
        <v>19</v>
      </c>
      <c r="F9" s="194">
        <f>E9*D9</f>
        <v>3800</v>
      </c>
      <c r="G9" s="194">
        <v>0</v>
      </c>
      <c r="H9" s="145">
        <f t="shared" si="0"/>
        <v>3800</v>
      </c>
      <c r="I9" s="194">
        <v>0</v>
      </c>
      <c r="J9" s="194">
        <f>SUMIFS('Cashbook Wix'!$B$2:$B$7106,'Cashbook Wix'!$A$2:$A$7106,"AIMW")</f>
        <v>0</v>
      </c>
      <c r="K9" s="194">
        <v>0</v>
      </c>
      <c r="L9" s="145">
        <f t="shared" si="3"/>
        <v>0</v>
      </c>
      <c r="M9" s="145">
        <f t="shared" si="1"/>
        <v>-3800</v>
      </c>
    </row>
    <row r="10" spans="1:26" ht="27.75" customHeight="1" x14ac:dyDescent="0.3">
      <c r="A10" s="685"/>
      <c r="B10" s="475" t="s">
        <v>386</v>
      </c>
      <c r="C10" s="349">
        <f t="shared" ref="C10:D10" si="4">SUM(C3:C9)</f>
        <v>5400</v>
      </c>
      <c r="D10" s="350">
        <f t="shared" si="4"/>
        <v>200</v>
      </c>
      <c r="E10" s="349">
        <v>0</v>
      </c>
      <c r="F10" s="349">
        <f t="shared" ref="F10:M10" si="5">SUM(F3:F9)</f>
        <v>3800</v>
      </c>
      <c r="G10" s="349">
        <f t="shared" si="5"/>
        <v>0</v>
      </c>
      <c r="H10" s="351">
        <f t="shared" si="5"/>
        <v>-1600</v>
      </c>
      <c r="I10" s="349">
        <f t="shared" si="5"/>
        <v>0</v>
      </c>
      <c r="J10" s="349">
        <f t="shared" si="5"/>
        <v>0</v>
      </c>
      <c r="K10" s="349">
        <f t="shared" si="5"/>
        <v>0</v>
      </c>
      <c r="L10" s="351">
        <f t="shared" si="5"/>
        <v>0</v>
      </c>
      <c r="M10" s="351">
        <f t="shared" si="5"/>
        <v>1600</v>
      </c>
    </row>
    <row r="11" spans="1:26" ht="27.75" customHeight="1" x14ac:dyDescent="0.35">
      <c r="A11" s="476"/>
      <c r="B11" s="477" t="s">
        <v>450</v>
      </c>
      <c r="C11" s="217">
        <f t="shared" ref="C11:M11" si="6">SUM(C10)</f>
        <v>5400</v>
      </c>
      <c r="D11" s="478">
        <f t="shared" si="6"/>
        <v>200</v>
      </c>
      <c r="E11" s="217">
        <f t="shared" si="6"/>
        <v>0</v>
      </c>
      <c r="F11" s="217">
        <f t="shared" si="6"/>
        <v>3800</v>
      </c>
      <c r="G11" s="217">
        <f t="shared" si="6"/>
        <v>0</v>
      </c>
      <c r="H11" s="217">
        <f t="shared" si="6"/>
        <v>-1600</v>
      </c>
      <c r="I11" s="218">
        <f t="shared" si="6"/>
        <v>0</v>
      </c>
      <c r="J11" s="217">
        <f t="shared" si="6"/>
        <v>0</v>
      </c>
      <c r="K11" s="217">
        <f t="shared" si="6"/>
        <v>0</v>
      </c>
      <c r="L11" s="220">
        <f t="shared" si="6"/>
        <v>0</v>
      </c>
      <c r="M11" s="220">
        <f t="shared" si="6"/>
        <v>1600</v>
      </c>
      <c r="N11" s="165"/>
      <c r="O11" s="165"/>
      <c r="P11" s="165"/>
      <c r="Q11" s="165"/>
      <c r="R11" s="165"/>
      <c r="S11" s="165"/>
      <c r="T11" s="165"/>
      <c r="U11" s="165"/>
      <c r="V11" s="165"/>
      <c r="W11" s="165"/>
      <c r="X11" s="165"/>
      <c r="Y11" s="165"/>
      <c r="Z11" s="165"/>
    </row>
    <row r="12" spans="1:26" ht="27.75" customHeight="1" x14ac:dyDescent="0.2"/>
    <row r="13" spans="1:26" ht="27.75" customHeight="1" x14ac:dyDescent="0.2"/>
    <row r="14" spans="1:26" ht="14.25" customHeight="1" x14ac:dyDescent="0.2"/>
    <row r="15" spans="1:26" ht="14.25" customHeight="1" x14ac:dyDescent="0.3">
      <c r="B15" s="416"/>
    </row>
    <row r="16" spans="1:26" ht="14.25" customHeight="1" x14ac:dyDescent="0.2"/>
    <row r="17" spans="4:6" ht="14.25" customHeight="1" x14ac:dyDescent="0.2"/>
    <row r="18" spans="4:6" ht="14.25" customHeight="1" x14ac:dyDescent="0.2">
      <c r="D18" s="10"/>
      <c r="F18" s="10"/>
    </row>
    <row r="19" spans="4:6" ht="14.25" customHeight="1" x14ac:dyDescent="0.2">
      <c r="D19" s="10"/>
    </row>
    <row r="20" spans="4:6" ht="14.25" customHeight="1" x14ac:dyDescent="0.2">
      <c r="D20" s="10"/>
    </row>
    <row r="21" spans="4:6" ht="14.25" customHeight="1" x14ac:dyDescent="0.2">
      <c r="D21" s="10"/>
    </row>
    <row r="22" spans="4:6" ht="14.25" customHeight="1" x14ac:dyDescent="0.2"/>
    <row r="23" spans="4:6" ht="14.25" customHeight="1" x14ac:dyDescent="0.2"/>
    <row r="24" spans="4:6" ht="14.25" customHeight="1" x14ac:dyDescent="0.2"/>
    <row r="25" spans="4:6" ht="14.25" customHeight="1" x14ac:dyDescent="0.2"/>
    <row r="26" spans="4:6" ht="14.25" customHeight="1" x14ac:dyDescent="0.2"/>
    <row r="27" spans="4:6" ht="14.25" customHeight="1" x14ac:dyDescent="0.2"/>
    <row r="28" spans="4:6" ht="14.25" customHeight="1" x14ac:dyDescent="0.2"/>
    <row r="29" spans="4:6" ht="14.25" customHeight="1" x14ac:dyDescent="0.2"/>
    <row r="30" spans="4:6" ht="14.25" customHeight="1" x14ac:dyDescent="0.2"/>
    <row r="31" spans="4:6" ht="14.25" customHeight="1" x14ac:dyDescent="0.2"/>
    <row r="32" spans="4:6"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5">
    <mergeCell ref="A1:A2"/>
    <mergeCell ref="B1:B2"/>
    <mergeCell ref="C1:H1"/>
    <mergeCell ref="I1:M1"/>
    <mergeCell ref="A3:A10"/>
  </mergeCells>
  <conditionalFormatting sqref="A1:C1 I1:M1 A2 H2 L2:M2">
    <cfRule type="cellIs" dxfId="12" priority="1" operator="lessThan">
      <formula>0</formula>
    </cfRule>
  </conditionalFormatting>
  <conditionalFormatting sqref="A11:Z14">
    <cfRule type="cellIs" dxfId="11" priority="2" operator="lessThan">
      <formula>0</formula>
    </cfRule>
  </conditionalFormatting>
  <conditionalFormatting sqref="N1:Z2 A3:C4 D3:Z10 B5:C10 A15 C15:Z15">
    <cfRule type="cellIs" dxfId="10" priority="3" operator="lessThan">
      <formula>0</formula>
    </cfRule>
  </conditionalFormatting>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0C4E3"/>
  </sheetPr>
  <dimension ref="A1:Z1000"/>
  <sheetViews>
    <sheetView workbookViewId="0"/>
  </sheetViews>
  <sheetFormatPr baseColWidth="10" defaultColWidth="14.5" defaultRowHeight="15" customHeight="1" x14ac:dyDescent="0.2"/>
  <cols>
    <col min="1" max="1" width="33.5" customWidth="1"/>
    <col min="2" max="2" width="33.1640625" customWidth="1"/>
    <col min="3" max="3" width="21.5" customWidth="1"/>
    <col min="4" max="4" width="15.83203125" customWidth="1"/>
    <col min="5" max="5" width="28" customWidth="1"/>
    <col min="6" max="6" width="20.1640625" customWidth="1"/>
    <col min="7" max="7" width="20.5" customWidth="1"/>
    <col min="8" max="8" width="15.6640625" customWidth="1"/>
    <col min="9" max="9" width="26.5" customWidth="1"/>
    <col min="10" max="10" width="23.5" customWidth="1"/>
    <col min="11" max="11" width="36.1640625" customWidth="1"/>
    <col min="12" max="26" width="11.5" customWidth="1"/>
  </cols>
  <sheetData>
    <row r="1" spans="1:26" ht="25.5" customHeight="1" x14ac:dyDescent="0.3">
      <c r="A1" s="689" t="s">
        <v>459</v>
      </c>
      <c r="B1" s="691" t="s">
        <v>460</v>
      </c>
      <c r="C1" s="692" t="s">
        <v>379</v>
      </c>
      <c r="D1" s="693"/>
      <c r="E1" s="693"/>
      <c r="F1" s="694"/>
      <c r="G1" s="695" t="s">
        <v>503</v>
      </c>
      <c r="H1" s="693"/>
      <c r="I1" s="693"/>
      <c r="J1" s="693"/>
      <c r="K1" s="696"/>
      <c r="L1" s="28"/>
      <c r="M1" s="28"/>
      <c r="N1" s="28"/>
      <c r="O1" s="28"/>
      <c r="P1" s="28"/>
      <c r="Q1" s="28"/>
      <c r="R1" s="28"/>
      <c r="S1" s="28"/>
      <c r="T1" s="28"/>
      <c r="U1" s="28"/>
      <c r="V1" s="28"/>
      <c r="W1" s="28"/>
      <c r="X1" s="28"/>
      <c r="Y1" s="28"/>
      <c r="Z1" s="28"/>
    </row>
    <row r="2" spans="1:26" ht="25.5" customHeight="1" x14ac:dyDescent="0.3">
      <c r="A2" s="690"/>
      <c r="B2" s="677"/>
      <c r="C2" s="479" t="s">
        <v>381</v>
      </c>
      <c r="D2" s="480" t="s">
        <v>384</v>
      </c>
      <c r="E2" s="481" t="s">
        <v>456</v>
      </c>
      <c r="F2" s="482" t="s">
        <v>386</v>
      </c>
      <c r="G2" s="483" t="s">
        <v>381</v>
      </c>
      <c r="H2" s="484" t="s">
        <v>384</v>
      </c>
      <c r="I2" s="485" t="s">
        <v>456</v>
      </c>
      <c r="J2" s="486" t="s">
        <v>386</v>
      </c>
      <c r="K2" s="487" t="s">
        <v>457</v>
      </c>
      <c r="L2" s="28"/>
      <c r="M2" s="28"/>
      <c r="N2" s="28"/>
      <c r="O2" s="28"/>
      <c r="P2" s="28"/>
      <c r="Q2" s="28"/>
      <c r="R2" s="28"/>
      <c r="S2" s="28"/>
      <c r="T2" s="28"/>
      <c r="U2" s="28"/>
      <c r="V2" s="28"/>
      <c r="W2" s="28"/>
      <c r="X2" s="28"/>
      <c r="Y2" s="28"/>
      <c r="Z2" s="28"/>
    </row>
    <row r="3" spans="1:26" ht="25.5" customHeight="1" x14ac:dyDescent="0.3">
      <c r="A3" s="697" t="s">
        <v>666</v>
      </c>
      <c r="B3" s="179" t="s">
        <v>517</v>
      </c>
      <c r="C3" s="488">
        <v>0</v>
      </c>
      <c r="D3" s="489">
        <v>0</v>
      </c>
      <c r="E3" s="490">
        <v>0</v>
      </c>
      <c r="F3" s="491">
        <f t="shared" ref="F3:F5" si="0">D3+E3-C3</f>
        <v>0</v>
      </c>
      <c r="G3" s="488">
        <f>SUMIFS('Cashbook ING'!B3:B2963, 'Cashbook ING'!A3:A2963,"WC_Buddy Borrel _Drinks")*-1</f>
        <v>0</v>
      </c>
      <c r="H3" s="489">
        <v>0</v>
      </c>
      <c r="I3" s="492">
        <v>196.09</v>
      </c>
      <c r="J3" s="493">
        <f t="shared" ref="J3:J5" si="1">H3+I3-G3</f>
        <v>196.09</v>
      </c>
      <c r="K3" s="494">
        <f t="shared" ref="K3:K5" si="2">J3-F3</f>
        <v>196.09</v>
      </c>
      <c r="L3" s="28"/>
      <c r="M3" s="28"/>
      <c r="N3" s="28"/>
      <c r="O3" s="28"/>
      <c r="P3" s="28"/>
      <c r="Q3" s="28"/>
      <c r="R3" s="28"/>
      <c r="S3" s="28"/>
      <c r="T3" s="28"/>
      <c r="U3" s="28"/>
      <c r="V3" s="28"/>
      <c r="W3" s="28"/>
      <c r="X3" s="28"/>
      <c r="Y3" s="28"/>
      <c r="Z3" s="28"/>
    </row>
    <row r="4" spans="1:26" ht="25.5" customHeight="1" x14ac:dyDescent="0.3">
      <c r="A4" s="687"/>
      <c r="B4" s="179" t="s">
        <v>602</v>
      </c>
      <c r="C4" s="495">
        <v>200</v>
      </c>
      <c r="D4" s="496">
        <v>0</v>
      </c>
      <c r="E4" s="497">
        <v>200</v>
      </c>
      <c r="F4" s="179">
        <f t="shared" si="0"/>
        <v>0</v>
      </c>
      <c r="G4" s="495">
        <f>SUMIFS('Cashbook ING'!B3:B2963, 'Cashbook ING'!A3:A2963,"WC_Buddy Borrel_Unforeseen")*-1</f>
        <v>0</v>
      </c>
      <c r="H4" s="496">
        <v>0</v>
      </c>
      <c r="I4" s="179">
        <v>0</v>
      </c>
      <c r="J4" s="498">
        <f t="shared" si="1"/>
        <v>0</v>
      </c>
      <c r="K4" s="499">
        <f t="shared" si="2"/>
        <v>0</v>
      </c>
      <c r="L4" s="28"/>
      <c r="M4" s="28"/>
      <c r="N4" s="28"/>
      <c r="O4" s="28"/>
      <c r="P4" s="28"/>
      <c r="Q4" s="28"/>
      <c r="R4" s="28"/>
      <c r="S4" s="28"/>
      <c r="T4" s="28"/>
      <c r="U4" s="28"/>
      <c r="V4" s="28"/>
      <c r="W4" s="28"/>
      <c r="X4" s="28"/>
      <c r="Y4" s="28"/>
      <c r="Z4" s="28"/>
    </row>
    <row r="5" spans="1:26" ht="25.5" customHeight="1" x14ac:dyDescent="0.3">
      <c r="A5" s="687"/>
      <c r="B5" s="500" t="s">
        <v>667</v>
      </c>
      <c r="C5" s="495">
        <v>0</v>
      </c>
      <c r="D5" s="496">
        <v>0</v>
      </c>
      <c r="E5" s="497">
        <v>0</v>
      </c>
      <c r="F5" s="179">
        <f t="shared" si="0"/>
        <v>0</v>
      </c>
      <c r="G5" s="495">
        <v>0</v>
      </c>
      <c r="H5" s="496">
        <f>SUMIFS('Cashbook Wix'!B2:B3103,'Cashbook Wix'!A2:A3103,"WC_Buddy Borrel_Ticket sale")</f>
        <v>0</v>
      </c>
      <c r="I5" s="179">
        <v>0</v>
      </c>
      <c r="J5" s="498">
        <f t="shared" si="1"/>
        <v>0</v>
      </c>
      <c r="K5" s="499">
        <f t="shared" si="2"/>
        <v>0</v>
      </c>
      <c r="L5" s="28"/>
      <c r="M5" s="28"/>
      <c r="N5" s="28"/>
      <c r="O5" s="28"/>
      <c r="P5" s="28"/>
      <c r="Q5" s="28"/>
      <c r="R5" s="28"/>
      <c r="S5" s="28"/>
      <c r="T5" s="28"/>
      <c r="U5" s="28"/>
      <c r="V5" s="28"/>
      <c r="W5" s="28"/>
      <c r="X5" s="28"/>
      <c r="Y5" s="28"/>
      <c r="Z5" s="28"/>
    </row>
    <row r="6" spans="1:26" ht="25.5" customHeight="1" x14ac:dyDescent="0.3">
      <c r="A6" s="688"/>
      <c r="B6" s="501" t="s">
        <v>511</v>
      </c>
      <c r="C6" s="502">
        <f t="shared" ref="C6:K6" si="3">SUM(C3:C5)</f>
        <v>200</v>
      </c>
      <c r="D6" s="503">
        <f t="shared" si="3"/>
        <v>0</v>
      </c>
      <c r="E6" s="503">
        <f t="shared" si="3"/>
        <v>200</v>
      </c>
      <c r="F6" s="504">
        <f t="shared" si="3"/>
        <v>0</v>
      </c>
      <c r="G6" s="502">
        <f t="shared" si="3"/>
        <v>0</v>
      </c>
      <c r="H6" s="503">
        <f t="shared" si="3"/>
        <v>0</v>
      </c>
      <c r="I6" s="505">
        <f t="shared" si="3"/>
        <v>196.09</v>
      </c>
      <c r="J6" s="506">
        <f t="shared" si="3"/>
        <v>196.09</v>
      </c>
      <c r="K6" s="507">
        <f t="shared" si="3"/>
        <v>196.09</v>
      </c>
      <c r="L6" s="176"/>
      <c r="M6" s="176"/>
      <c r="N6" s="176"/>
      <c r="O6" s="176"/>
      <c r="P6" s="176"/>
      <c r="Q6" s="176"/>
      <c r="R6" s="176"/>
      <c r="S6" s="176"/>
      <c r="T6" s="176"/>
      <c r="U6" s="176"/>
      <c r="V6" s="176"/>
      <c r="W6" s="176"/>
      <c r="X6" s="176"/>
      <c r="Y6" s="176"/>
      <c r="Z6" s="176"/>
    </row>
    <row r="7" spans="1:26" ht="25.5" customHeight="1" x14ac:dyDescent="0.3">
      <c r="A7" s="698" t="s">
        <v>668</v>
      </c>
      <c r="B7" s="179" t="s">
        <v>616</v>
      </c>
      <c r="C7" s="508">
        <v>150</v>
      </c>
      <c r="D7" s="179">
        <v>0</v>
      </c>
      <c r="E7" s="179">
        <v>120</v>
      </c>
      <c r="F7" s="509">
        <f t="shared" ref="F7:F10" si="4">D7+E7-C7</f>
        <v>-30</v>
      </c>
      <c r="G7" s="508">
        <f>SUMIFS('Cashbook ING'!B3:B2963, 'Cashbook ING'!A3:A2963,"WC_Buddy painting_Materials")*-1</f>
        <v>0</v>
      </c>
      <c r="H7" s="179">
        <v>0</v>
      </c>
      <c r="I7" s="497">
        <v>36.090000000000003</v>
      </c>
      <c r="J7" s="498">
        <f t="shared" ref="J7:J10" si="5">H7+I7-G7</f>
        <v>36.090000000000003</v>
      </c>
      <c r="K7" s="499">
        <f t="shared" ref="K7:K10" si="6">J7-F7</f>
        <v>66.09</v>
      </c>
      <c r="L7" s="176"/>
      <c r="M7" s="176"/>
      <c r="N7" s="176"/>
      <c r="O7" s="176"/>
      <c r="P7" s="176"/>
      <c r="Q7" s="176"/>
      <c r="R7" s="176"/>
      <c r="S7" s="176"/>
      <c r="T7" s="176"/>
      <c r="U7" s="176"/>
      <c r="V7" s="176"/>
      <c r="W7" s="176"/>
      <c r="X7" s="176"/>
      <c r="Y7" s="176"/>
      <c r="Z7" s="176"/>
    </row>
    <row r="8" spans="1:26" ht="25.5" customHeight="1" x14ac:dyDescent="0.3">
      <c r="A8" s="687"/>
      <c r="B8" s="179" t="s">
        <v>669</v>
      </c>
      <c r="C8" s="508">
        <v>130</v>
      </c>
      <c r="D8" s="179">
        <v>0</v>
      </c>
      <c r="E8" s="179">
        <v>0</v>
      </c>
      <c r="F8" s="509">
        <f t="shared" si="4"/>
        <v>-130</v>
      </c>
      <c r="G8" s="508">
        <f>SUMIFS('Cashbook ING'!B3:B963, 'Cashbook ING'!A3:A963,"WC_Buddy painting_Pizza")*-1</f>
        <v>0</v>
      </c>
      <c r="H8" s="179">
        <v>0</v>
      </c>
      <c r="I8" s="497">
        <v>0</v>
      </c>
      <c r="J8" s="498">
        <f t="shared" si="5"/>
        <v>0</v>
      </c>
      <c r="K8" s="499">
        <f t="shared" si="6"/>
        <v>130</v>
      </c>
      <c r="L8" s="176"/>
      <c r="M8" s="176"/>
      <c r="N8" s="176"/>
      <c r="O8" s="176"/>
      <c r="P8" s="176"/>
      <c r="Q8" s="176"/>
      <c r="R8" s="176"/>
      <c r="S8" s="176"/>
      <c r="T8" s="176"/>
      <c r="U8" s="176"/>
      <c r="V8" s="176"/>
      <c r="W8" s="176"/>
      <c r="X8" s="176"/>
      <c r="Y8" s="176"/>
      <c r="Z8" s="176"/>
    </row>
    <row r="9" spans="1:26" ht="25.5" customHeight="1" x14ac:dyDescent="0.3">
      <c r="A9" s="687"/>
      <c r="B9" s="179" t="s">
        <v>670</v>
      </c>
      <c r="C9" s="508">
        <v>50</v>
      </c>
      <c r="D9" s="179">
        <v>0</v>
      </c>
      <c r="E9" s="179">
        <v>0</v>
      </c>
      <c r="F9" s="509">
        <f t="shared" si="4"/>
        <v>-50</v>
      </c>
      <c r="G9" s="508">
        <f>SUMIFS('Cashbook ING'!B3:B963, 'Cashbook ING'!A3:A963,"WC_Buddy painting_Drinks")*-1</f>
        <v>0</v>
      </c>
      <c r="H9" s="179">
        <v>0</v>
      </c>
      <c r="I9" s="497">
        <v>0</v>
      </c>
      <c r="J9" s="498">
        <f t="shared" si="5"/>
        <v>0</v>
      </c>
      <c r="K9" s="499">
        <f t="shared" si="6"/>
        <v>50</v>
      </c>
      <c r="L9" s="176"/>
      <c r="M9" s="176"/>
      <c r="N9" s="176"/>
      <c r="O9" s="176"/>
      <c r="P9" s="176"/>
      <c r="Q9" s="176"/>
      <c r="R9" s="176"/>
      <c r="S9" s="176"/>
      <c r="T9" s="176"/>
      <c r="U9" s="176"/>
      <c r="V9" s="176"/>
      <c r="W9" s="176"/>
      <c r="X9" s="176"/>
      <c r="Y9" s="176"/>
      <c r="Z9" s="176"/>
    </row>
    <row r="10" spans="1:26" ht="25.5" customHeight="1" x14ac:dyDescent="0.3">
      <c r="A10" s="687"/>
      <c r="B10" s="179" t="s">
        <v>671</v>
      </c>
      <c r="C10" s="508">
        <v>0</v>
      </c>
      <c r="D10" s="179">
        <f>4*40</f>
        <v>160</v>
      </c>
      <c r="E10" s="179">
        <v>0</v>
      </c>
      <c r="F10" s="509">
        <f t="shared" si="4"/>
        <v>160</v>
      </c>
      <c r="G10" s="508">
        <v>0</v>
      </c>
      <c r="H10" s="179">
        <f>SUMIFS('Cashbook Wix'!B2:B2091,'Cashbook Wix'!A2:A2091,"WC_Buddy painting_Ticket sale")</f>
        <v>0</v>
      </c>
      <c r="I10" s="497">
        <v>0</v>
      </c>
      <c r="J10" s="498">
        <f t="shared" si="5"/>
        <v>0</v>
      </c>
      <c r="K10" s="499">
        <f t="shared" si="6"/>
        <v>-160</v>
      </c>
      <c r="L10" s="176"/>
      <c r="M10" s="176"/>
      <c r="N10" s="176"/>
      <c r="O10" s="176"/>
      <c r="P10" s="176"/>
      <c r="Q10" s="176"/>
      <c r="R10" s="176"/>
      <c r="S10" s="176"/>
      <c r="T10" s="176"/>
      <c r="U10" s="176"/>
      <c r="V10" s="176"/>
      <c r="W10" s="176"/>
      <c r="X10" s="176"/>
      <c r="Y10" s="176"/>
      <c r="Z10" s="176"/>
    </row>
    <row r="11" spans="1:26" ht="25.5" customHeight="1" x14ac:dyDescent="0.3">
      <c r="A11" s="688"/>
      <c r="B11" s="501" t="s">
        <v>618</v>
      </c>
      <c r="C11" s="502">
        <f t="shared" ref="C11:K11" si="7">SUM(C7:C10)</f>
        <v>330</v>
      </c>
      <c r="D11" s="510">
        <f t="shared" si="7"/>
        <v>160</v>
      </c>
      <c r="E11" s="505">
        <f t="shared" si="7"/>
        <v>120</v>
      </c>
      <c r="F11" s="507">
        <f t="shared" si="7"/>
        <v>-50</v>
      </c>
      <c r="G11" s="502">
        <f t="shared" si="7"/>
        <v>0</v>
      </c>
      <c r="H11" s="503">
        <f t="shared" si="7"/>
        <v>0</v>
      </c>
      <c r="I11" s="505">
        <f t="shared" si="7"/>
        <v>36.090000000000003</v>
      </c>
      <c r="J11" s="503">
        <f t="shared" si="7"/>
        <v>36.090000000000003</v>
      </c>
      <c r="K11" s="504">
        <f t="shared" si="7"/>
        <v>86.09</v>
      </c>
      <c r="L11" s="176"/>
      <c r="M11" s="176"/>
      <c r="N11" s="176"/>
      <c r="O11" s="176"/>
      <c r="P11" s="176"/>
      <c r="Q11" s="176"/>
      <c r="R11" s="176"/>
      <c r="S11" s="176"/>
      <c r="T11" s="176"/>
      <c r="U11" s="176"/>
      <c r="V11" s="176"/>
      <c r="W11" s="176"/>
      <c r="X11" s="176"/>
      <c r="Y11" s="176"/>
      <c r="Z11" s="176"/>
    </row>
    <row r="12" spans="1:26" ht="25.5" customHeight="1" x14ac:dyDescent="0.3">
      <c r="A12" s="699" t="s">
        <v>672</v>
      </c>
      <c r="B12" s="179" t="s">
        <v>529</v>
      </c>
      <c r="C12" s="508">
        <v>375</v>
      </c>
      <c r="D12" s="179">
        <v>0</v>
      </c>
      <c r="E12" s="179">
        <v>375</v>
      </c>
      <c r="F12" s="509">
        <f>D12+E12-C12</f>
        <v>0</v>
      </c>
      <c r="G12" s="508">
        <f>SUMIFS('Cashbook ING'!B3:B963, 'Cashbook ING'!A3:A963,"WC_Brunch_Snacks")*-1</f>
        <v>0</v>
      </c>
      <c r="H12" s="179">
        <v>0</v>
      </c>
      <c r="I12" s="497">
        <v>121.81</v>
      </c>
      <c r="J12" s="498">
        <f>H12+I12-G12</f>
        <v>121.81</v>
      </c>
      <c r="K12" s="499">
        <f>J12-F12</f>
        <v>121.81</v>
      </c>
      <c r="L12" s="176"/>
      <c r="M12" s="176"/>
      <c r="N12" s="176"/>
      <c r="O12" s="176"/>
      <c r="P12" s="176"/>
      <c r="Q12" s="176"/>
      <c r="R12" s="176"/>
      <c r="S12" s="176"/>
      <c r="T12" s="176"/>
      <c r="U12" s="176"/>
      <c r="V12" s="176"/>
      <c r="W12" s="176"/>
      <c r="X12" s="176"/>
      <c r="Y12" s="176"/>
      <c r="Z12" s="176"/>
    </row>
    <row r="13" spans="1:26" ht="25.5" customHeight="1" x14ac:dyDescent="0.3">
      <c r="A13" s="688"/>
      <c r="B13" s="511" t="s">
        <v>511</v>
      </c>
      <c r="C13" s="510">
        <f t="shared" ref="C13:K13" si="8">SUM(C12)</f>
        <v>375</v>
      </c>
      <c r="D13" s="501">
        <f t="shared" si="8"/>
        <v>0</v>
      </c>
      <c r="E13" s="503">
        <f t="shared" si="8"/>
        <v>375</v>
      </c>
      <c r="F13" s="504">
        <f t="shared" si="8"/>
        <v>0</v>
      </c>
      <c r="G13" s="510">
        <f t="shared" si="8"/>
        <v>0</v>
      </c>
      <c r="H13" s="510">
        <f t="shared" si="8"/>
        <v>0</v>
      </c>
      <c r="I13" s="507">
        <f t="shared" si="8"/>
        <v>121.81</v>
      </c>
      <c r="J13" s="510">
        <f t="shared" si="8"/>
        <v>121.81</v>
      </c>
      <c r="K13" s="510">
        <f t="shared" si="8"/>
        <v>121.81</v>
      </c>
      <c r="L13" s="176"/>
      <c r="M13" s="176"/>
      <c r="N13" s="176"/>
      <c r="O13" s="176"/>
      <c r="P13" s="176"/>
      <c r="Q13" s="176"/>
      <c r="R13" s="176"/>
      <c r="S13" s="176"/>
      <c r="T13" s="176"/>
      <c r="U13" s="176"/>
      <c r="V13" s="176"/>
      <c r="W13" s="176"/>
      <c r="X13" s="176"/>
      <c r="Y13" s="176"/>
      <c r="Z13" s="176"/>
    </row>
    <row r="14" spans="1:26" ht="25.5" customHeight="1" x14ac:dyDescent="0.3">
      <c r="A14" s="699" t="s">
        <v>673</v>
      </c>
      <c r="B14" s="491" t="s">
        <v>674</v>
      </c>
      <c r="C14" s="512">
        <v>500</v>
      </c>
      <c r="D14" s="513">
        <v>0</v>
      </c>
      <c r="E14" s="514">
        <v>500</v>
      </c>
      <c r="F14" s="515">
        <f>D14+E14-C14</f>
        <v>0</v>
      </c>
      <c r="G14" s="512">
        <f>SUMIFS('Cashbook ING'!B3:B963, 'Cashbook ING'!A3:A963,"WC_Thrifting_Vouchers")*-1</f>
        <v>0</v>
      </c>
      <c r="H14" s="513">
        <v>0</v>
      </c>
      <c r="I14" s="515">
        <v>147.84</v>
      </c>
      <c r="J14" s="516">
        <f>H14+I14-G14</f>
        <v>147.84</v>
      </c>
      <c r="K14" s="517">
        <f>J14-F14</f>
        <v>147.84</v>
      </c>
      <c r="L14" s="28"/>
      <c r="M14" s="28"/>
      <c r="N14" s="28"/>
      <c r="O14" s="28"/>
      <c r="P14" s="28"/>
      <c r="Q14" s="28"/>
      <c r="R14" s="28"/>
      <c r="S14" s="28"/>
      <c r="T14" s="28"/>
      <c r="U14" s="28"/>
      <c r="V14" s="28"/>
      <c r="W14" s="28"/>
      <c r="X14" s="28"/>
      <c r="Y14" s="28"/>
      <c r="Z14" s="28"/>
    </row>
    <row r="15" spans="1:26" ht="25.5" customHeight="1" x14ac:dyDescent="0.3">
      <c r="A15" s="688"/>
      <c r="B15" s="501" t="s">
        <v>511</v>
      </c>
      <c r="C15" s="518">
        <f t="shared" ref="C15:K15" si="9">SUM(C14)</f>
        <v>500</v>
      </c>
      <c r="D15" s="501">
        <f t="shared" si="9"/>
        <v>0</v>
      </c>
      <c r="E15" s="519">
        <f t="shared" si="9"/>
        <v>500</v>
      </c>
      <c r="F15" s="520">
        <f t="shared" si="9"/>
        <v>0</v>
      </c>
      <c r="G15" s="510">
        <f t="shared" si="9"/>
        <v>0</v>
      </c>
      <c r="H15" s="501">
        <f t="shared" si="9"/>
        <v>0</v>
      </c>
      <c r="I15" s="520">
        <f t="shared" si="9"/>
        <v>147.84</v>
      </c>
      <c r="J15" s="501">
        <f t="shared" si="9"/>
        <v>147.84</v>
      </c>
      <c r="K15" s="504">
        <f t="shared" si="9"/>
        <v>147.84</v>
      </c>
      <c r="L15" s="521"/>
      <c r="M15" s="28"/>
      <c r="N15" s="28"/>
      <c r="O15" s="28"/>
      <c r="P15" s="28"/>
      <c r="Q15" s="28"/>
      <c r="R15" s="28"/>
      <c r="S15" s="28"/>
      <c r="T15" s="28"/>
      <c r="U15" s="28"/>
      <c r="V15" s="28"/>
      <c r="W15" s="28"/>
      <c r="X15" s="28"/>
      <c r="Y15" s="28"/>
      <c r="Z15" s="28"/>
    </row>
    <row r="16" spans="1:26" ht="25.5" customHeight="1" x14ac:dyDescent="0.3">
      <c r="A16" s="686" t="s">
        <v>675</v>
      </c>
      <c r="B16" s="522" t="s">
        <v>676</v>
      </c>
      <c r="C16" s="523">
        <v>100</v>
      </c>
      <c r="D16" s="524">
        <v>0</v>
      </c>
      <c r="E16" s="525">
        <v>100</v>
      </c>
      <c r="F16" s="526">
        <f t="shared" ref="F16:F17" si="10">D16+E16-C16</f>
        <v>0</v>
      </c>
      <c r="G16" s="523">
        <v>0</v>
      </c>
      <c r="H16" s="524">
        <v>0</v>
      </c>
      <c r="I16" s="526">
        <v>0</v>
      </c>
      <c r="J16" s="527">
        <f t="shared" ref="J16:J17" si="11">H16+I16-G16</f>
        <v>0</v>
      </c>
      <c r="K16" s="528">
        <f t="shared" ref="K16:K17" si="12">J16-F16</f>
        <v>0</v>
      </c>
      <c r="L16" s="28"/>
      <c r="M16" s="28"/>
      <c r="N16" s="28"/>
      <c r="O16" s="28"/>
      <c r="P16" s="28"/>
      <c r="Q16" s="28"/>
      <c r="R16" s="28"/>
      <c r="S16" s="28"/>
      <c r="T16" s="28"/>
      <c r="U16" s="28"/>
      <c r="V16" s="28"/>
      <c r="W16" s="28"/>
      <c r="X16" s="28"/>
      <c r="Y16" s="28"/>
      <c r="Z16" s="28"/>
    </row>
    <row r="17" spans="1:26" ht="25.5" customHeight="1" x14ac:dyDescent="0.3">
      <c r="A17" s="687"/>
      <c r="B17" s="522" t="s">
        <v>529</v>
      </c>
      <c r="C17" s="529">
        <v>60</v>
      </c>
      <c r="D17" s="530">
        <v>0</v>
      </c>
      <c r="E17" s="531">
        <v>60</v>
      </c>
      <c r="F17" s="532">
        <f t="shared" si="10"/>
        <v>0</v>
      </c>
      <c r="G17" s="529">
        <v>0</v>
      </c>
      <c r="H17" s="530">
        <v>0</v>
      </c>
      <c r="I17" s="532">
        <v>0</v>
      </c>
      <c r="J17" s="533">
        <f t="shared" si="11"/>
        <v>0</v>
      </c>
      <c r="K17" s="534">
        <f t="shared" si="12"/>
        <v>0</v>
      </c>
      <c r="L17" s="28"/>
      <c r="M17" s="28"/>
      <c r="N17" s="28"/>
      <c r="O17" s="28"/>
      <c r="P17" s="28"/>
      <c r="Q17" s="28"/>
      <c r="R17" s="28"/>
      <c r="S17" s="28"/>
      <c r="T17" s="28"/>
      <c r="U17" s="28"/>
      <c r="V17" s="28"/>
      <c r="W17" s="28"/>
      <c r="X17" s="28"/>
      <c r="Y17" s="28"/>
      <c r="Z17" s="28"/>
    </row>
    <row r="18" spans="1:26" ht="25.5" customHeight="1" x14ac:dyDescent="0.3">
      <c r="A18" s="688"/>
      <c r="B18" s="535" t="s">
        <v>511</v>
      </c>
      <c r="C18" s="536">
        <f t="shared" ref="C18:K18" si="13">SUM(C16:C17)</f>
        <v>160</v>
      </c>
      <c r="D18" s="537">
        <f t="shared" si="13"/>
        <v>0</v>
      </c>
      <c r="E18" s="538">
        <f t="shared" si="13"/>
        <v>160</v>
      </c>
      <c r="F18" s="539">
        <f t="shared" si="13"/>
        <v>0</v>
      </c>
      <c r="G18" s="540">
        <f t="shared" si="13"/>
        <v>0</v>
      </c>
      <c r="H18" s="541">
        <f t="shared" si="13"/>
        <v>0</v>
      </c>
      <c r="I18" s="539">
        <f t="shared" si="13"/>
        <v>0</v>
      </c>
      <c r="J18" s="541">
        <f t="shared" si="13"/>
        <v>0</v>
      </c>
      <c r="K18" s="542">
        <f t="shared" si="13"/>
        <v>0</v>
      </c>
      <c r="L18" s="521"/>
      <c r="M18" s="28"/>
      <c r="N18" s="28"/>
      <c r="O18" s="28"/>
      <c r="P18" s="28"/>
      <c r="Q18" s="28"/>
      <c r="R18" s="28"/>
      <c r="S18" s="28"/>
      <c r="T18" s="28"/>
      <c r="U18" s="28"/>
      <c r="V18" s="28"/>
      <c r="W18" s="28"/>
      <c r="X18" s="28"/>
      <c r="Y18" s="28"/>
      <c r="Z18" s="28"/>
    </row>
    <row r="19" spans="1:26" ht="25.5" customHeight="1" x14ac:dyDescent="0.3">
      <c r="A19" s="543"/>
      <c r="B19" s="544" t="s">
        <v>450</v>
      </c>
      <c r="C19" s="545" t="e">
        <f t="shared" ref="C19:K19" si="14">SUM(C6,C11,C15,C18,#REF!,C13)</f>
        <v>#REF!</v>
      </c>
      <c r="D19" s="545" t="e">
        <f t="shared" si="14"/>
        <v>#REF!</v>
      </c>
      <c r="E19" s="545" t="e">
        <f t="shared" si="14"/>
        <v>#REF!</v>
      </c>
      <c r="F19" s="545" t="e">
        <f t="shared" si="14"/>
        <v>#REF!</v>
      </c>
      <c r="G19" s="545" t="e">
        <f t="shared" si="14"/>
        <v>#REF!</v>
      </c>
      <c r="H19" s="545" t="e">
        <f t="shared" si="14"/>
        <v>#REF!</v>
      </c>
      <c r="I19" s="545" t="e">
        <f t="shared" si="14"/>
        <v>#REF!</v>
      </c>
      <c r="J19" s="545" t="e">
        <f t="shared" si="14"/>
        <v>#REF!</v>
      </c>
      <c r="K19" s="545" t="e">
        <f t="shared" si="14"/>
        <v>#REF!</v>
      </c>
      <c r="L19" s="28"/>
      <c r="M19" s="28"/>
      <c r="N19" s="28"/>
      <c r="O19" s="28"/>
      <c r="P19" s="28"/>
      <c r="Q19" s="28"/>
      <c r="R19" s="28"/>
      <c r="S19" s="28"/>
      <c r="T19" s="28"/>
      <c r="U19" s="28"/>
      <c r="V19" s="28"/>
      <c r="W19" s="28"/>
      <c r="X19" s="28"/>
      <c r="Y19" s="28"/>
      <c r="Z19" s="28"/>
    </row>
    <row r="20" spans="1:26" ht="25.5" customHeight="1" x14ac:dyDescent="0.3">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25.5" customHeight="1" x14ac:dyDescent="0.3">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25.5" customHeight="1" x14ac:dyDescent="0.3">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25.5" customHeight="1" x14ac:dyDescent="0.3">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25.5" customHeight="1" x14ac:dyDescent="0.3">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25.5" customHeight="1" x14ac:dyDescent="0.3">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25.5" customHeight="1" x14ac:dyDescent="0.3">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25.5" customHeight="1" x14ac:dyDescent="0.3">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25.5" customHeight="1" x14ac:dyDescent="0.3">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25.5" customHeight="1" x14ac:dyDescent="0.3">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25.5" customHeight="1" x14ac:dyDescent="0.3">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25.5" customHeight="1" x14ac:dyDescent="0.3">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25.5" customHeight="1" x14ac:dyDescent="0.3">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25.5" customHeight="1" x14ac:dyDescent="0.3">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25.5" customHeight="1" x14ac:dyDescent="0.3">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25.5" customHeight="1" x14ac:dyDescent="0.3">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25.5" customHeight="1" x14ac:dyDescent="0.3">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25.5" customHeight="1" x14ac:dyDescent="0.3">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25.5" customHeight="1" x14ac:dyDescent="0.3">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25.5" customHeight="1" x14ac:dyDescent="0.3">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25.5" customHeight="1" x14ac:dyDescent="0.3">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25.5" customHeight="1" x14ac:dyDescent="0.3">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25.5" customHeight="1" x14ac:dyDescent="0.3">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25.5" customHeight="1"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25.5" customHeight="1"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25.5" customHeight="1"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25.5" customHeight="1"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25.5" customHeight="1"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25.5" customHeight="1"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25.5" customHeight="1" x14ac:dyDescent="0.3">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25.5" customHeight="1" x14ac:dyDescent="0.3">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25.5" customHeight="1" x14ac:dyDescent="0.3">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25.5" customHeight="1" x14ac:dyDescent="0.3">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25.5" customHeight="1" x14ac:dyDescent="0.3">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25.5" customHeight="1" x14ac:dyDescent="0.3">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25.5" customHeight="1" x14ac:dyDescent="0.3">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25.5" customHeight="1" x14ac:dyDescent="0.3">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25.5" customHeight="1" x14ac:dyDescent="0.3">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25.5" customHeight="1" x14ac:dyDescent="0.3">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25.5" customHeight="1" x14ac:dyDescent="0.3">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25.5" customHeight="1" x14ac:dyDescent="0.3">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25.5" customHeight="1" x14ac:dyDescent="0.3">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25.5" customHeight="1" x14ac:dyDescent="0.3">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25.5" customHeight="1" x14ac:dyDescent="0.3">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25.5" customHeight="1" x14ac:dyDescent="0.3">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25.5" customHeight="1" x14ac:dyDescent="0.3">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25.5" customHeight="1" x14ac:dyDescent="0.3">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25.5" customHeight="1" x14ac:dyDescent="0.3">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25.5" customHeight="1" x14ac:dyDescent="0.3">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25.5" customHeight="1" x14ac:dyDescent="0.3">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25.5" customHeight="1" x14ac:dyDescent="0.3">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25.5" customHeight="1" x14ac:dyDescent="0.3">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25.5" customHeight="1" x14ac:dyDescent="0.3">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25.5" customHeight="1" x14ac:dyDescent="0.3">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25.5" customHeight="1" x14ac:dyDescent="0.3">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25.5" customHeight="1" x14ac:dyDescent="0.3">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25.5" customHeight="1" x14ac:dyDescent="0.3">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25.5" customHeight="1" x14ac:dyDescent="0.3">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25.5" customHeight="1" x14ac:dyDescent="0.3">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25.5" customHeight="1" x14ac:dyDescent="0.3">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25.5" customHeight="1" x14ac:dyDescent="0.3">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25.5" customHeight="1" x14ac:dyDescent="0.3">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25.5" customHeight="1" x14ac:dyDescent="0.3">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25.5" customHeight="1" x14ac:dyDescent="0.3">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25.5" customHeight="1" x14ac:dyDescent="0.3">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25.5" customHeight="1" x14ac:dyDescent="0.3">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25.5" customHeight="1" x14ac:dyDescent="0.3">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25.5" customHeight="1" x14ac:dyDescent="0.3">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25.5" customHeight="1" x14ac:dyDescent="0.3">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25.5" customHeight="1" x14ac:dyDescent="0.3">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25.5" customHeight="1" x14ac:dyDescent="0.3">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25.5" customHeight="1" x14ac:dyDescent="0.3">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25.5" customHeight="1" x14ac:dyDescent="0.3">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25.5" customHeight="1" x14ac:dyDescent="0.3">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25.5" customHeight="1" x14ac:dyDescent="0.3">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25.5" customHeight="1" x14ac:dyDescent="0.3">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25.5" customHeight="1" x14ac:dyDescent="0.3">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25.5" customHeight="1" x14ac:dyDescent="0.3">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25.5" customHeight="1" x14ac:dyDescent="0.3">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25.5" customHeight="1" x14ac:dyDescent="0.3">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25.5" customHeight="1" x14ac:dyDescent="0.3">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25.5" customHeight="1" x14ac:dyDescent="0.3">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25.5" customHeight="1" x14ac:dyDescent="0.3">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25.5" customHeight="1" x14ac:dyDescent="0.3">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25.5" customHeight="1" x14ac:dyDescent="0.3">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25.5" customHeight="1" x14ac:dyDescent="0.3">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25.5" customHeight="1" x14ac:dyDescent="0.3">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25.5" customHeight="1" x14ac:dyDescent="0.3">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25.5" customHeight="1" x14ac:dyDescent="0.3">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25.5" customHeight="1" x14ac:dyDescent="0.3">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25.5" customHeight="1" x14ac:dyDescent="0.3">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25.5" customHeight="1" x14ac:dyDescent="0.3">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25.5" customHeight="1" x14ac:dyDescent="0.3">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25.5" customHeight="1" x14ac:dyDescent="0.3">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25.5" customHeight="1" x14ac:dyDescent="0.3">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25.5" customHeight="1" x14ac:dyDescent="0.3">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25.5" customHeight="1" x14ac:dyDescent="0.3">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25.5" customHeight="1" x14ac:dyDescent="0.3">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25.5" customHeight="1" x14ac:dyDescent="0.3">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25.5" customHeight="1" x14ac:dyDescent="0.3">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25.5" customHeight="1" x14ac:dyDescent="0.3">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25.5" customHeight="1" x14ac:dyDescent="0.3">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25.5" customHeight="1" x14ac:dyDescent="0.3">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25.5" customHeight="1" x14ac:dyDescent="0.3">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25.5" customHeight="1" x14ac:dyDescent="0.3">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25.5" customHeight="1" x14ac:dyDescent="0.3">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25.5" customHeight="1" x14ac:dyDescent="0.3">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25.5" customHeight="1" x14ac:dyDescent="0.3">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25.5" customHeight="1" x14ac:dyDescent="0.3">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25.5" customHeight="1" x14ac:dyDescent="0.3">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25.5" customHeight="1" x14ac:dyDescent="0.3">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25.5" customHeight="1" x14ac:dyDescent="0.3">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25.5" customHeight="1" x14ac:dyDescent="0.3">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25.5" customHeight="1" x14ac:dyDescent="0.3">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25.5" customHeight="1" x14ac:dyDescent="0.3">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25.5" customHeight="1" x14ac:dyDescent="0.3">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25.5" customHeight="1" x14ac:dyDescent="0.3">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25.5" customHeight="1" x14ac:dyDescent="0.3">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25.5" customHeight="1" x14ac:dyDescent="0.3">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25.5" customHeight="1" x14ac:dyDescent="0.3">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25.5" customHeight="1" x14ac:dyDescent="0.3">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25.5" customHeight="1" x14ac:dyDescent="0.3">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25.5" customHeight="1" x14ac:dyDescent="0.3">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25.5" customHeight="1" x14ac:dyDescent="0.3">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25.5" customHeight="1" x14ac:dyDescent="0.3">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25.5" customHeight="1" x14ac:dyDescent="0.3">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25.5" customHeight="1" x14ac:dyDescent="0.3">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25.5" customHeight="1" x14ac:dyDescent="0.3">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25.5" customHeight="1" x14ac:dyDescent="0.3">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25.5" customHeight="1" x14ac:dyDescent="0.3">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25.5" customHeight="1" x14ac:dyDescent="0.3">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25.5" customHeight="1" x14ac:dyDescent="0.3">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25.5" customHeight="1" x14ac:dyDescent="0.3">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25.5" customHeight="1" x14ac:dyDescent="0.3">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25.5" customHeight="1" x14ac:dyDescent="0.3">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25.5" customHeight="1" x14ac:dyDescent="0.3">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25.5" customHeight="1" x14ac:dyDescent="0.3">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25.5" customHeight="1" x14ac:dyDescent="0.3">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25.5" customHeight="1" x14ac:dyDescent="0.3">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25.5" customHeight="1" x14ac:dyDescent="0.3">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25.5" customHeight="1" x14ac:dyDescent="0.3">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25.5" customHeight="1" x14ac:dyDescent="0.3">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25.5" customHeight="1" x14ac:dyDescent="0.3">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25.5" customHeight="1" x14ac:dyDescent="0.3">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25.5" customHeight="1" x14ac:dyDescent="0.3">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25.5" customHeight="1" x14ac:dyDescent="0.3">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25.5" customHeight="1" x14ac:dyDescent="0.3">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25.5" customHeight="1" x14ac:dyDescent="0.3">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25.5" customHeight="1" x14ac:dyDescent="0.3">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25.5" customHeight="1" x14ac:dyDescent="0.3">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25.5" customHeight="1" x14ac:dyDescent="0.3">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25.5" customHeight="1" x14ac:dyDescent="0.3">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25.5" customHeight="1" x14ac:dyDescent="0.3">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25.5" customHeight="1" x14ac:dyDescent="0.3">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25.5" customHeight="1" x14ac:dyDescent="0.3">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25.5" customHeight="1" x14ac:dyDescent="0.3">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25.5" customHeight="1" x14ac:dyDescent="0.3">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25.5" customHeight="1" x14ac:dyDescent="0.3">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25.5" customHeight="1" x14ac:dyDescent="0.3">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25.5" customHeight="1" x14ac:dyDescent="0.3">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25.5" customHeight="1" x14ac:dyDescent="0.3">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25.5" customHeight="1" x14ac:dyDescent="0.3">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25.5" customHeight="1" x14ac:dyDescent="0.3">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25.5" customHeight="1" x14ac:dyDescent="0.3">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25.5" customHeight="1" x14ac:dyDescent="0.3">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25.5" customHeight="1" x14ac:dyDescent="0.3">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25.5" customHeight="1" x14ac:dyDescent="0.3">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25.5" customHeight="1" x14ac:dyDescent="0.3">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25.5" customHeight="1" x14ac:dyDescent="0.3">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25.5" customHeight="1" x14ac:dyDescent="0.3">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25.5" customHeight="1" x14ac:dyDescent="0.3">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25.5" customHeight="1" x14ac:dyDescent="0.3">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25.5" customHeight="1" x14ac:dyDescent="0.3">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25.5" customHeight="1" x14ac:dyDescent="0.3">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25.5" customHeight="1" x14ac:dyDescent="0.3">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25.5" customHeight="1" x14ac:dyDescent="0.3">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25.5" customHeight="1" x14ac:dyDescent="0.3">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25.5" customHeight="1" x14ac:dyDescent="0.3">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25.5" customHeight="1" x14ac:dyDescent="0.3">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25.5" customHeight="1" x14ac:dyDescent="0.3">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25.5" customHeight="1" x14ac:dyDescent="0.3">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25.5" customHeight="1" x14ac:dyDescent="0.3">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25.5" customHeight="1" x14ac:dyDescent="0.3">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25.5" customHeight="1" x14ac:dyDescent="0.3">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25.5" customHeight="1" x14ac:dyDescent="0.3">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25.5" customHeight="1" x14ac:dyDescent="0.3">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25.5" customHeight="1" x14ac:dyDescent="0.3">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25.5" customHeight="1" x14ac:dyDescent="0.3">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25.5" customHeight="1" x14ac:dyDescent="0.3">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25.5" customHeight="1" x14ac:dyDescent="0.3">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25.5" customHeight="1" x14ac:dyDescent="0.3">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25.5" customHeight="1" x14ac:dyDescent="0.3">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25.5" customHeight="1" x14ac:dyDescent="0.3">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25.5" customHeight="1" x14ac:dyDescent="0.3">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25.5" customHeight="1" x14ac:dyDescent="0.3">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25.5" customHeight="1" x14ac:dyDescent="0.3">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25.5" customHeight="1" x14ac:dyDescent="0.3">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25.5" customHeight="1" x14ac:dyDescent="0.3">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25.5" customHeight="1" x14ac:dyDescent="0.3">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25.5" customHeight="1" x14ac:dyDescent="0.3">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25.5" customHeight="1" x14ac:dyDescent="0.3">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25.5" customHeight="1" x14ac:dyDescent="0.3">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25.5" customHeight="1" x14ac:dyDescent="0.3">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25.5" customHeight="1" x14ac:dyDescent="0.3">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25.5" customHeight="1" x14ac:dyDescent="0.3">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25.5" customHeight="1" x14ac:dyDescent="0.3">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25.5" customHeight="1" x14ac:dyDescent="0.3">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25.5" customHeight="1" x14ac:dyDescent="0.3">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25.5" customHeight="1" x14ac:dyDescent="0.3">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25.5" customHeight="1" x14ac:dyDescent="0.3">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25.5" customHeight="1" x14ac:dyDescent="0.3">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25.5" customHeight="1" x14ac:dyDescent="0.3">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25.5" customHeight="1" x14ac:dyDescent="0.3">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25.5" customHeight="1" x14ac:dyDescent="0.3">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25.5" customHeight="1" x14ac:dyDescent="0.3">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25.5" customHeight="1" x14ac:dyDescent="0.3">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25.5" customHeight="1" x14ac:dyDescent="0.3">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25.5" customHeight="1" x14ac:dyDescent="0.3">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25.5" customHeight="1" x14ac:dyDescent="0.3">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25.5" customHeight="1" x14ac:dyDescent="0.3">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25.5" customHeight="1" x14ac:dyDescent="0.3">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25.5" customHeight="1" x14ac:dyDescent="0.3">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25.5" customHeight="1" x14ac:dyDescent="0.3">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25.5" customHeight="1" x14ac:dyDescent="0.3">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25.5" customHeight="1" x14ac:dyDescent="0.3">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25.5" customHeight="1" x14ac:dyDescent="0.3">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25.5" customHeight="1" x14ac:dyDescent="0.3">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25.5" customHeight="1" x14ac:dyDescent="0.3">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25.5" customHeight="1" x14ac:dyDescent="0.3">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25.5" customHeight="1" x14ac:dyDescent="0.3">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25.5" customHeight="1" x14ac:dyDescent="0.3">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25.5" customHeight="1" x14ac:dyDescent="0.3">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25.5" customHeight="1" x14ac:dyDescent="0.3">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25.5" customHeight="1" x14ac:dyDescent="0.3">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25.5" customHeight="1" x14ac:dyDescent="0.3">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25.5" customHeight="1" x14ac:dyDescent="0.3">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25.5" customHeight="1" x14ac:dyDescent="0.3">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25.5" customHeight="1" x14ac:dyDescent="0.3">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25.5" customHeight="1" x14ac:dyDescent="0.3">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25.5" customHeight="1" x14ac:dyDescent="0.3">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25.5" customHeight="1" x14ac:dyDescent="0.3">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25.5" customHeight="1" x14ac:dyDescent="0.3">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25.5" customHeight="1" x14ac:dyDescent="0.3">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25.5" customHeight="1" x14ac:dyDescent="0.3">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25.5" customHeight="1" x14ac:dyDescent="0.3">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25.5" customHeight="1" x14ac:dyDescent="0.3">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25.5" customHeight="1" x14ac:dyDescent="0.3">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25.5" customHeight="1" x14ac:dyDescent="0.3">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25.5" customHeight="1" x14ac:dyDescent="0.3">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25.5" customHeight="1" x14ac:dyDescent="0.3">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25.5" customHeight="1" x14ac:dyDescent="0.3">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25.5" customHeight="1" x14ac:dyDescent="0.3">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25.5" customHeight="1" x14ac:dyDescent="0.3">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25.5" customHeight="1" x14ac:dyDescent="0.3">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25.5" customHeight="1" x14ac:dyDescent="0.3">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25.5" customHeight="1" x14ac:dyDescent="0.3">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25.5" customHeight="1" x14ac:dyDescent="0.3">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25.5" customHeight="1" x14ac:dyDescent="0.3">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25.5" customHeight="1" x14ac:dyDescent="0.3">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25.5" customHeight="1" x14ac:dyDescent="0.3">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25.5" customHeight="1" x14ac:dyDescent="0.3">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25.5" customHeight="1" x14ac:dyDescent="0.3">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25.5" customHeight="1" x14ac:dyDescent="0.3">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25.5" customHeight="1" x14ac:dyDescent="0.3">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25.5" customHeight="1" x14ac:dyDescent="0.3">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25.5" customHeight="1" x14ac:dyDescent="0.3">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25.5" customHeight="1" x14ac:dyDescent="0.3">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25.5" customHeight="1" x14ac:dyDescent="0.3">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25.5" customHeight="1" x14ac:dyDescent="0.3">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25.5" customHeight="1" x14ac:dyDescent="0.3">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25.5" customHeight="1" x14ac:dyDescent="0.3">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25.5" customHeight="1" x14ac:dyDescent="0.3">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25.5" customHeight="1" x14ac:dyDescent="0.3">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25.5" customHeight="1" x14ac:dyDescent="0.3">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25.5" customHeight="1" x14ac:dyDescent="0.3">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25.5" customHeight="1" x14ac:dyDescent="0.3">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25.5" customHeight="1" x14ac:dyDescent="0.3">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25.5" customHeight="1" x14ac:dyDescent="0.3">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25.5" customHeight="1" x14ac:dyDescent="0.3">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25.5" customHeight="1" x14ac:dyDescent="0.3">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25.5" customHeight="1" x14ac:dyDescent="0.3">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25.5" customHeight="1" x14ac:dyDescent="0.3">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25.5" customHeight="1" x14ac:dyDescent="0.3">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25.5" customHeight="1" x14ac:dyDescent="0.3">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25.5" customHeight="1" x14ac:dyDescent="0.3">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25.5" customHeight="1" x14ac:dyDescent="0.3">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25.5" customHeight="1" x14ac:dyDescent="0.3">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25.5" customHeight="1" x14ac:dyDescent="0.3">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25.5" customHeight="1" x14ac:dyDescent="0.3">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25.5" customHeight="1" x14ac:dyDescent="0.3">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25.5" customHeight="1" x14ac:dyDescent="0.3">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25.5" customHeight="1" x14ac:dyDescent="0.3">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25.5" customHeight="1" x14ac:dyDescent="0.3">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25.5" customHeight="1" x14ac:dyDescent="0.3">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25.5" customHeight="1" x14ac:dyDescent="0.3">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25.5" customHeight="1" x14ac:dyDescent="0.3">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25.5" customHeight="1" x14ac:dyDescent="0.3">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25.5" customHeight="1" x14ac:dyDescent="0.3">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25.5" customHeight="1" x14ac:dyDescent="0.3">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25.5" customHeight="1" x14ac:dyDescent="0.3">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25.5" customHeight="1" x14ac:dyDescent="0.3">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25.5" customHeight="1" x14ac:dyDescent="0.3">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25.5" customHeight="1" x14ac:dyDescent="0.3">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25.5" customHeight="1" x14ac:dyDescent="0.3">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25.5" customHeight="1" x14ac:dyDescent="0.3">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25.5" customHeight="1" x14ac:dyDescent="0.3">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25.5" customHeight="1" x14ac:dyDescent="0.3">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25.5" customHeight="1" x14ac:dyDescent="0.3">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25.5" customHeight="1" x14ac:dyDescent="0.3">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25.5" customHeight="1" x14ac:dyDescent="0.3">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25.5" customHeight="1" x14ac:dyDescent="0.3">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25.5" customHeight="1" x14ac:dyDescent="0.3">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25.5" customHeight="1" x14ac:dyDescent="0.3">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25.5" customHeight="1" x14ac:dyDescent="0.3">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25.5" customHeight="1" x14ac:dyDescent="0.3">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25.5" customHeight="1" x14ac:dyDescent="0.3">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25.5" customHeight="1" x14ac:dyDescent="0.3">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25.5" customHeight="1" x14ac:dyDescent="0.3">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25.5" customHeight="1" x14ac:dyDescent="0.3">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25.5" customHeight="1" x14ac:dyDescent="0.3">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25.5" customHeight="1" x14ac:dyDescent="0.3">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25.5" customHeight="1" x14ac:dyDescent="0.3">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25.5" customHeight="1" x14ac:dyDescent="0.3">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25.5" customHeight="1" x14ac:dyDescent="0.3">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25.5" customHeight="1" x14ac:dyDescent="0.3">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25.5" customHeight="1" x14ac:dyDescent="0.3">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25.5" customHeight="1" x14ac:dyDescent="0.3">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25.5" customHeight="1" x14ac:dyDescent="0.3">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25.5" customHeight="1" x14ac:dyDescent="0.3">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25.5" customHeight="1" x14ac:dyDescent="0.3">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25.5" customHeight="1" x14ac:dyDescent="0.3">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25.5" customHeight="1" x14ac:dyDescent="0.3">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25.5" customHeight="1" x14ac:dyDescent="0.3">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25.5" customHeight="1" x14ac:dyDescent="0.3">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25.5" customHeight="1" x14ac:dyDescent="0.3">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25.5" customHeight="1" x14ac:dyDescent="0.3">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25.5" customHeight="1" x14ac:dyDescent="0.3">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25.5" customHeight="1" x14ac:dyDescent="0.3">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25.5" customHeight="1" x14ac:dyDescent="0.3">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25.5" customHeight="1" x14ac:dyDescent="0.3">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25.5" customHeight="1" x14ac:dyDescent="0.3">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25.5" customHeight="1" x14ac:dyDescent="0.3">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25.5" customHeight="1" x14ac:dyDescent="0.3">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25.5" customHeight="1" x14ac:dyDescent="0.3">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25.5" customHeight="1" x14ac:dyDescent="0.3">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25.5" customHeight="1" x14ac:dyDescent="0.3">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25.5" customHeight="1" x14ac:dyDescent="0.3">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25.5" customHeight="1" x14ac:dyDescent="0.3">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25.5" customHeight="1" x14ac:dyDescent="0.3">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25.5" customHeight="1" x14ac:dyDescent="0.3">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25.5" customHeight="1" x14ac:dyDescent="0.3">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25.5" customHeight="1" x14ac:dyDescent="0.3">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25.5" customHeight="1" x14ac:dyDescent="0.3">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25.5" customHeight="1" x14ac:dyDescent="0.3">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25.5" customHeight="1" x14ac:dyDescent="0.3">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25.5" customHeight="1" x14ac:dyDescent="0.3">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25.5" customHeight="1" x14ac:dyDescent="0.3">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25.5" customHeight="1" x14ac:dyDescent="0.3">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25.5" customHeight="1" x14ac:dyDescent="0.3">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25.5" customHeight="1" x14ac:dyDescent="0.3">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25.5" customHeight="1" x14ac:dyDescent="0.3">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25.5" customHeight="1" x14ac:dyDescent="0.3">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25.5" customHeight="1" x14ac:dyDescent="0.3">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25.5" customHeight="1" x14ac:dyDescent="0.3">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25.5" customHeight="1" x14ac:dyDescent="0.3">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25.5" customHeight="1" x14ac:dyDescent="0.3">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25.5" customHeight="1" x14ac:dyDescent="0.3">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25.5" customHeight="1" x14ac:dyDescent="0.3">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25.5" customHeight="1" x14ac:dyDescent="0.3">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25.5" customHeight="1" x14ac:dyDescent="0.3">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25.5" customHeight="1" x14ac:dyDescent="0.3">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25.5" customHeight="1" x14ac:dyDescent="0.3">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25.5" customHeight="1" x14ac:dyDescent="0.3">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25.5" customHeight="1" x14ac:dyDescent="0.3">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25.5" customHeight="1" x14ac:dyDescent="0.3">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25.5" customHeight="1" x14ac:dyDescent="0.3">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25.5" customHeight="1" x14ac:dyDescent="0.3">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25.5" customHeight="1" x14ac:dyDescent="0.3">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25.5" customHeight="1" x14ac:dyDescent="0.3">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25.5" customHeight="1" x14ac:dyDescent="0.3">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25.5" customHeight="1" x14ac:dyDescent="0.3">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25.5" customHeight="1" x14ac:dyDescent="0.3">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25.5" customHeight="1" x14ac:dyDescent="0.3">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25.5" customHeight="1" x14ac:dyDescent="0.3">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25.5" customHeight="1" x14ac:dyDescent="0.3">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25.5" customHeight="1" x14ac:dyDescent="0.3">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25.5" customHeight="1" x14ac:dyDescent="0.3">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25.5" customHeight="1" x14ac:dyDescent="0.3">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25.5" customHeight="1" x14ac:dyDescent="0.3">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25.5" customHeight="1" x14ac:dyDescent="0.3">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25.5" customHeight="1" x14ac:dyDescent="0.3">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25.5" customHeight="1" x14ac:dyDescent="0.3">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25.5" customHeight="1" x14ac:dyDescent="0.3">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25.5" customHeight="1" x14ac:dyDescent="0.3">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25.5" customHeight="1" x14ac:dyDescent="0.3">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25.5" customHeight="1" x14ac:dyDescent="0.3">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25.5" customHeight="1" x14ac:dyDescent="0.3">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25.5" customHeight="1" x14ac:dyDescent="0.3">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25.5" customHeight="1" x14ac:dyDescent="0.3">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25.5" customHeight="1" x14ac:dyDescent="0.3">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25.5" customHeight="1" x14ac:dyDescent="0.3">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25.5" customHeight="1" x14ac:dyDescent="0.3">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25.5" customHeight="1" x14ac:dyDescent="0.3">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25.5" customHeight="1" x14ac:dyDescent="0.3">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25.5" customHeight="1" x14ac:dyDescent="0.3">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25.5" customHeight="1" x14ac:dyDescent="0.3">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25.5" customHeight="1" x14ac:dyDescent="0.3">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25.5" customHeight="1" x14ac:dyDescent="0.3">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25.5" customHeight="1" x14ac:dyDescent="0.3">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25.5" customHeight="1" x14ac:dyDescent="0.3">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25.5" customHeight="1" x14ac:dyDescent="0.3">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25.5" customHeight="1" x14ac:dyDescent="0.3">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25.5" customHeight="1" x14ac:dyDescent="0.3">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25.5" customHeight="1" x14ac:dyDescent="0.3">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25.5" customHeight="1" x14ac:dyDescent="0.3">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25.5" customHeight="1" x14ac:dyDescent="0.3">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25.5" customHeight="1" x14ac:dyDescent="0.3">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25.5" customHeight="1" x14ac:dyDescent="0.3">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25.5" customHeight="1" x14ac:dyDescent="0.3">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25.5" customHeight="1" x14ac:dyDescent="0.3">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25.5" customHeight="1" x14ac:dyDescent="0.3">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25.5" customHeight="1" x14ac:dyDescent="0.3">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25.5" customHeight="1" x14ac:dyDescent="0.3">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25.5" customHeight="1" x14ac:dyDescent="0.3">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25.5" customHeight="1" x14ac:dyDescent="0.3">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25.5" customHeight="1" x14ac:dyDescent="0.3">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25.5" customHeight="1" x14ac:dyDescent="0.3">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25.5" customHeight="1" x14ac:dyDescent="0.3">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25.5" customHeight="1" x14ac:dyDescent="0.3">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25.5" customHeight="1" x14ac:dyDescent="0.3">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25.5" customHeight="1" x14ac:dyDescent="0.3">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25.5" customHeight="1" x14ac:dyDescent="0.3">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25.5" customHeight="1" x14ac:dyDescent="0.3">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25.5" customHeight="1" x14ac:dyDescent="0.3">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25.5" customHeight="1" x14ac:dyDescent="0.3">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25.5" customHeight="1" x14ac:dyDescent="0.3">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25.5" customHeight="1" x14ac:dyDescent="0.3">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25.5" customHeight="1" x14ac:dyDescent="0.3">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25.5" customHeight="1" x14ac:dyDescent="0.3">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25.5" customHeight="1" x14ac:dyDescent="0.3">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25.5" customHeight="1" x14ac:dyDescent="0.3">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25.5" customHeight="1" x14ac:dyDescent="0.3">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25.5" customHeight="1" x14ac:dyDescent="0.3">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25.5" customHeight="1" x14ac:dyDescent="0.3">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25.5" customHeight="1" x14ac:dyDescent="0.3">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25.5" customHeight="1" x14ac:dyDescent="0.3">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25.5" customHeight="1" x14ac:dyDescent="0.3">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25.5" customHeight="1" x14ac:dyDescent="0.3">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25.5" customHeight="1" x14ac:dyDescent="0.3">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25.5" customHeight="1" x14ac:dyDescent="0.3">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25.5" customHeight="1" x14ac:dyDescent="0.3">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25.5" customHeight="1" x14ac:dyDescent="0.3">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25.5" customHeight="1" x14ac:dyDescent="0.3">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25.5" customHeight="1" x14ac:dyDescent="0.3">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25.5" customHeight="1" x14ac:dyDescent="0.3">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25.5" customHeight="1" x14ac:dyDescent="0.3">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25.5" customHeight="1" x14ac:dyDescent="0.3">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25.5" customHeight="1" x14ac:dyDescent="0.3">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25.5" customHeight="1" x14ac:dyDescent="0.3">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25.5" customHeight="1" x14ac:dyDescent="0.3">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25.5" customHeight="1" x14ac:dyDescent="0.3">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25.5" customHeight="1" x14ac:dyDescent="0.3">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25.5" customHeight="1" x14ac:dyDescent="0.3">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25.5" customHeight="1" x14ac:dyDescent="0.3">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25.5" customHeight="1" x14ac:dyDescent="0.3">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25.5" customHeight="1" x14ac:dyDescent="0.3">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25.5" customHeight="1" x14ac:dyDescent="0.3">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25.5" customHeight="1" x14ac:dyDescent="0.3">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25.5" customHeight="1" x14ac:dyDescent="0.3">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25.5" customHeight="1" x14ac:dyDescent="0.3">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25.5" customHeight="1" x14ac:dyDescent="0.3">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25.5" customHeight="1" x14ac:dyDescent="0.3">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25.5" customHeight="1" x14ac:dyDescent="0.3">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25.5" customHeight="1" x14ac:dyDescent="0.3">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25.5" customHeight="1" x14ac:dyDescent="0.3">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25.5" customHeight="1" x14ac:dyDescent="0.3">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25.5" customHeight="1" x14ac:dyDescent="0.3">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25.5" customHeight="1" x14ac:dyDescent="0.3">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25.5" customHeight="1" x14ac:dyDescent="0.3">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25.5" customHeight="1" x14ac:dyDescent="0.3">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25.5" customHeight="1" x14ac:dyDescent="0.3">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25.5" customHeight="1" x14ac:dyDescent="0.3">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25.5" customHeight="1" x14ac:dyDescent="0.3">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25.5" customHeight="1" x14ac:dyDescent="0.3">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25.5" customHeight="1" x14ac:dyDescent="0.3">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25.5" customHeight="1" x14ac:dyDescent="0.3">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25.5" customHeight="1" x14ac:dyDescent="0.3">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25.5" customHeight="1" x14ac:dyDescent="0.3">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25.5" customHeight="1" x14ac:dyDescent="0.3">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25.5" customHeight="1" x14ac:dyDescent="0.3">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25.5" customHeight="1" x14ac:dyDescent="0.3">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25.5" customHeight="1" x14ac:dyDescent="0.3">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25.5" customHeight="1" x14ac:dyDescent="0.3">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25.5" customHeight="1" x14ac:dyDescent="0.3">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25.5" customHeight="1" x14ac:dyDescent="0.3">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25.5" customHeight="1" x14ac:dyDescent="0.3">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25.5" customHeight="1" x14ac:dyDescent="0.3">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25.5" customHeight="1" x14ac:dyDescent="0.3">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25.5" customHeight="1" x14ac:dyDescent="0.3">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25.5" customHeight="1" x14ac:dyDescent="0.3">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25.5" customHeight="1" x14ac:dyDescent="0.3">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25.5" customHeight="1" x14ac:dyDescent="0.3">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25.5" customHeight="1" x14ac:dyDescent="0.3">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25.5" customHeight="1" x14ac:dyDescent="0.3">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25.5" customHeight="1" x14ac:dyDescent="0.3">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25.5" customHeight="1" x14ac:dyDescent="0.3">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25.5" customHeight="1" x14ac:dyDescent="0.3">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25.5" customHeight="1" x14ac:dyDescent="0.3">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25.5" customHeight="1" x14ac:dyDescent="0.3">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25.5" customHeight="1" x14ac:dyDescent="0.3">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25.5" customHeight="1" x14ac:dyDescent="0.3">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25.5" customHeight="1" x14ac:dyDescent="0.3">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25.5" customHeight="1" x14ac:dyDescent="0.3">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25.5" customHeight="1" x14ac:dyDescent="0.3">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25.5" customHeight="1" x14ac:dyDescent="0.3">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25.5" customHeight="1" x14ac:dyDescent="0.3">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25.5" customHeight="1" x14ac:dyDescent="0.3">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25.5" customHeight="1" x14ac:dyDescent="0.3">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25.5" customHeight="1" x14ac:dyDescent="0.3">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25.5" customHeight="1" x14ac:dyDescent="0.3">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25.5" customHeight="1" x14ac:dyDescent="0.3">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25.5" customHeight="1" x14ac:dyDescent="0.3">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25.5" customHeight="1" x14ac:dyDescent="0.3">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25.5" customHeight="1" x14ac:dyDescent="0.3">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25.5" customHeight="1" x14ac:dyDescent="0.3">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25.5" customHeight="1" x14ac:dyDescent="0.3">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25.5" customHeight="1" x14ac:dyDescent="0.3">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25.5" customHeight="1" x14ac:dyDescent="0.3">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25.5" customHeight="1" x14ac:dyDescent="0.3">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25.5" customHeight="1" x14ac:dyDescent="0.3">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25.5" customHeight="1" x14ac:dyDescent="0.3">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25.5" customHeight="1" x14ac:dyDescent="0.3">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25.5" customHeight="1" x14ac:dyDescent="0.3">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25.5" customHeight="1" x14ac:dyDescent="0.3">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25.5" customHeight="1" x14ac:dyDescent="0.3">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25.5" customHeight="1" x14ac:dyDescent="0.3">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25.5" customHeight="1" x14ac:dyDescent="0.3">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25.5" customHeight="1" x14ac:dyDescent="0.3">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25.5" customHeight="1" x14ac:dyDescent="0.3">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25.5" customHeight="1" x14ac:dyDescent="0.3">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25.5" customHeight="1" x14ac:dyDescent="0.3">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25.5" customHeight="1" x14ac:dyDescent="0.3">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25.5" customHeight="1" x14ac:dyDescent="0.3">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25.5" customHeight="1" x14ac:dyDescent="0.3">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25.5" customHeight="1" x14ac:dyDescent="0.3">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25.5" customHeight="1" x14ac:dyDescent="0.3">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25.5" customHeight="1" x14ac:dyDescent="0.3">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25.5" customHeight="1" x14ac:dyDescent="0.3">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25.5" customHeight="1" x14ac:dyDescent="0.3">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25.5" customHeight="1" x14ac:dyDescent="0.3">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25.5" customHeight="1" x14ac:dyDescent="0.3">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25.5" customHeight="1" x14ac:dyDescent="0.3">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25.5" customHeight="1" x14ac:dyDescent="0.3">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25.5" customHeight="1" x14ac:dyDescent="0.3">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25.5" customHeight="1" x14ac:dyDescent="0.3">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25.5" customHeight="1" x14ac:dyDescent="0.3">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25.5" customHeight="1" x14ac:dyDescent="0.3">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25.5" customHeight="1" x14ac:dyDescent="0.3">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25.5" customHeight="1" x14ac:dyDescent="0.3">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25.5" customHeight="1" x14ac:dyDescent="0.3">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25.5" customHeight="1" x14ac:dyDescent="0.3">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25.5" customHeight="1" x14ac:dyDescent="0.3">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25.5" customHeight="1" x14ac:dyDescent="0.3">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25.5" customHeight="1" x14ac:dyDescent="0.3">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25.5" customHeight="1" x14ac:dyDescent="0.3">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25.5" customHeight="1" x14ac:dyDescent="0.3">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25.5" customHeight="1" x14ac:dyDescent="0.3">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25.5" customHeight="1" x14ac:dyDescent="0.3">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25.5" customHeight="1" x14ac:dyDescent="0.3">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25.5" customHeight="1" x14ac:dyDescent="0.3">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25.5" customHeight="1" x14ac:dyDescent="0.3">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25.5" customHeight="1" x14ac:dyDescent="0.3">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25.5" customHeight="1" x14ac:dyDescent="0.3">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25.5" customHeight="1" x14ac:dyDescent="0.3">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25.5" customHeight="1" x14ac:dyDescent="0.3">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25.5" customHeight="1" x14ac:dyDescent="0.3">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25.5" customHeight="1" x14ac:dyDescent="0.3">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25.5" customHeight="1" x14ac:dyDescent="0.3">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25.5" customHeight="1" x14ac:dyDescent="0.3">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25.5" customHeight="1" x14ac:dyDescent="0.3">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25.5" customHeight="1" x14ac:dyDescent="0.3">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25.5" customHeight="1" x14ac:dyDescent="0.3">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25.5" customHeight="1" x14ac:dyDescent="0.3">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25.5" customHeight="1" x14ac:dyDescent="0.3">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25.5" customHeight="1" x14ac:dyDescent="0.3">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25.5" customHeight="1" x14ac:dyDescent="0.3">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25.5" customHeight="1" x14ac:dyDescent="0.3">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25.5" customHeight="1" x14ac:dyDescent="0.3">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25.5" customHeight="1" x14ac:dyDescent="0.3">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25.5" customHeight="1" x14ac:dyDescent="0.3">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25.5" customHeight="1" x14ac:dyDescent="0.3">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25.5" customHeight="1" x14ac:dyDescent="0.3">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25.5" customHeight="1" x14ac:dyDescent="0.3">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25.5" customHeight="1" x14ac:dyDescent="0.3">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25.5" customHeight="1" x14ac:dyDescent="0.3">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25.5" customHeight="1" x14ac:dyDescent="0.3">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25.5" customHeight="1" x14ac:dyDescent="0.3">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25.5" customHeight="1" x14ac:dyDescent="0.3">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25.5" customHeight="1" x14ac:dyDescent="0.3">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25.5" customHeight="1" x14ac:dyDescent="0.3">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25.5" customHeight="1" x14ac:dyDescent="0.3">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25.5" customHeight="1" x14ac:dyDescent="0.3">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25.5" customHeight="1" x14ac:dyDescent="0.3">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25.5" customHeight="1" x14ac:dyDescent="0.3">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25.5" customHeight="1" x14ac:dyDescent="0.3">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25.5" customHeight="1" x14ac:dyDescent="0.3">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25.5" customHeight="1" x14ac:dyDescent="0.3">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25.5" customHeight="1" x14ac:dyDescent="0.3">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25.5" customHeight="1" x14ac:dyDescent="0.3">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25.5" customHeight="1" x14ac:dyDescent="0.3">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25.5" customHeight="1" x14ac:dyDescent="0.3">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25.5" customHeight="1" x14ac:dyDescent="0.3">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25.5" customHeight="1" x14ac:dyDescent="0.3">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25.5" customHeight="1" x14ac:dyDescent="0.3">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25.5" customHeight="1" x14ac:dyDescent="0.3">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25.5" customHeight="1" x14ac:dyDescent="0.3">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25.5" customHeight="1" x14ac:dyDescent="0.3">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25.5" customHeight="1" x14ac:dyDescent="0.3">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25.5" customHeight="1" x14ac:dyDescent="0.3">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25.5" customHeight="1" x14ac:dyDescent="0.3">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25.5" customHeight="1" x14ac:dyDescent="0.3">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25.5" customHeight="1" x14ac:dyDescent="0.3">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25.5" customHeight="1" x14ac:dyDescent="0.3">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25.5" customHeight="1" x14ac:dyDescent="0.3">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25.5" customHeight="1" x14ac:dyDescent="0.3">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25.5" customHeight="1" x14ac:dyDescent="0.3">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25.5" customHeight="1" x14ac:dyDescent="0.3">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25.5" customHeight="1" x14ac:dyDescent="0.3">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25.5" customHeight="1" x14ac:dyDescent="0.3">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25.5" customHeight="1" x14ac:dyDescent="0.3">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25.5" customHeight="1" x14ac:dyDescent="0.3">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25.5" customHeight="1" x14ac:dyDescent="0.3">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25.5" customHeight="1" x14ac:dyDescent="0.3">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25.5" customHeight="1" x14ac:dyDescent="0.3">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25.5" customHeight="1" x14ac:dyDescent="0.3">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25.5" customHeight="1" x14ac:dyDescent="0.3">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25.5" customHeight="1" x14ac:dyDescent="0.3">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25.5" customHeight="1" x14ac:dyDescent="0.3">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25.5" customHeight="1" x14ac:dyDescent="0.3">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25.5" customHeight="1" x14ac:dyDescent="0.3">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25.5" customHeight="1" x14ac:dyDescent="0.3">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25.5" customHeight="1" x14ac:dyDescent="0.3">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25.5" customHeight="1" x14ac:dyDescent="0.3">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25.5" customHeight="1" x14ac:dyDescent="0.3">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25.5" customHeight="1" x14ac:dyDescent="0.3">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25.5" customHeight="1" x14ac:dyDescent="0.3">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25.5" customHeight="1" x14ac:dyDescent="0.3">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25.5" customHeight="1" x14ac:dyDescent="0.3">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25.5" customHeight="1" x14ac:dyDescent="0.3">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25.5" customHeight="1" x14ac:dyDescent="0.3">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25.5" customHeight="1" x14ac:dyDescent="0.3">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25.5" customHeight="1" x14ac:dyDescent="0.3">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25.5" customHeight="1" x14ac:dyDescent="0.3">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25.5" customHeight="1" x14ac:dyDescent="0.3">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25.5" customHeight="1" x14ac:dyDescent="0.3">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25.5" customHeight="1" x14ac:dyDescent="0.3">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25.5" customHeight="1" x14ac:dyDescent="0.3">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25.5" customHeight="1" x14ac:dyDescent="0.3">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25.5" customHeight="1" x14ac:dyDescent="0.3">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25.5" customHeight="1" x14ac:dyDescent="0.3">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25.5" customHeight="1" x14ac:dyDescent="0.3">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25.5" customHeight="1" x14ac:dyDescent="0.3">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25.5" customHeight="1" x14ac:dyDescent="0.3">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25.5" customHeight="1" x14ac:dyDescent="0.3">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25.5" customHeight="1" x14ac:dyDescent="0.3">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25.5" customHeight="1" x14ac:dyDescent="0.3">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25.5" customHeight="1" x14ac:dyDescent="0.3">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25.5" customHeight="1" x14ac:dyDescent="0.3">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25.5" customHeight="1" x14ac:dyDescent="0.3">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25.5" customHeight="1" x14ac:dyDescent="0.3">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25.5" customHeight="1" x14ac:dyDescent="0.3">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25.5" customHeight="1" x14ac:dyDescent="0.3">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25.5" customHeight="1" x14ac:dyDescent="0.3">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25.5" customHeight="1" x14ac:dyDescent="0.3">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25.5" customHeight="1" x14ac:dyDescent="0.3">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25.5" customHeight="1" x14ac:dyDescent="0.3">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25.5" customHeight="1" x14ac:dyDescent="0.3">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25.5" customHeight="1" x14ac:dyDescent="0.3">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25.5" customHeight="1" x14ac:dyDescent="0.3">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25.5" customHeight="1" x14ac:dyDescent="0.3">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25.5" customHeight="1" x14ac:dyDescent="0.3">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25.5" customHeight="1" x14ac:dyDescent="0.3">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25.5" customHeight="1" x14ac:dyDescent="0.3">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25.5" customHeight="1" x14ac:dyDescent="0.3">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25.5" customHeight="1" x14ac:dyDescent="0.3">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25.5" customHeight="1" x14ac:dyDescent="0.3">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25.5" customHeight="1" x14ac:dyDescent="0.3">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25.5" customHeight="1" x14ac:dyDescent="0.3">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25.5" customHeight="1" x14ac:dyDescent="0.3">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25.5" customHeight="1" x14ac:dyDescent="0.3">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25.5" customHeight="1" x14ac:dyDescent="0.3">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25.5" customHeight="1" x14ac:dyDescent="0.3">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25.5" customHeight="1" x14ac:dyDescent="0.3">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25.5" customHeight="1" x14ac:dyDescent="0.3">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25.5" customHeight="1" x14ac:dyDescent="0.3">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25.5" customHeight="1" x14ac:dyDescent="0.3">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25.5" customHeight="1" x14ac:dyDescent="0.3">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25.5" customHeight="1" x14ac:dyDescent="0.3">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25.5" customHeight="1" x14ac:dyDescent="0.3">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25.5" customHeight="1" x14ac:dyDescent="0.3">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25.5" customHeight="1" x14ac:dyDescent="0.3">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25.5" customHeight="1" x14ac:dyDescent="0.3">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25.5" customHeight="1" x14ac:dyDescent="0.3">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25.5" customHeight="1" x14ac:dyDescent="0.3">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25.5" customHeight="1" x14ac:dyDescent="0.3">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25.5" customHeight="1" x14ac:dyDescent="0.3">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25.5" customHeight="1" x14ac:dyDescent="0.3">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25.5" customHeight="1" x14ac:dyDescent="0.3">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25.5" customHeight="1" x14ac:dyDescent="0.3">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25.5" customHeight="1" x14ac:dyDescent="0.3">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25.5" customHeight="1" x14ac:dyDescent="0.3">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25.5" customHeight="1" x14ac:dyDescent="0.3">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25.5" customHeight="1" x14ac:dyDescent="0.3">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25.5" customHeight="1" x14ac:dyDescent="0.3">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25.5" customHeight="1" x14ac:dyDescent="0.3">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25.5" customHeight="1" x14ac:dyDescent="0.3">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25.5" customHeight="1" x14ac:dyDescent="0.3">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25.5" customHeight="1" x14ac:dyDescent="0.3">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25.5" customHeight="1" x14ac:dyDescent="0.3">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25.5" customHeight="1" x14ac:dyDescent="0.3">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25.5" customHeight="1" x14ac:dyDescent="0.3">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25.5" customHeight="1" x14ac:dyDescent="0.3">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25.5" customHeight="1" x14ac:dyDescent="0.3">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25.5" customHeight="1" x14ac:dyDescent="0.3">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25.5" customHeight="1" x14ac:dyDescent="0.3">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25.5" customHeight="1" x14ac:dyDescent="0.3">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25.5" customHeight="1" x14ac:dyDescent="0.3">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25.5" customHeight="1" x14ac:dyDescent="0.3">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25.5" customHeight="1" x14ac:dyDescent="0.3">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25.5" customHeight="1" x14ac:dyDescent="0.3">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25.5" customHeight="1" x14ac:dyDescent="0.3">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25.5" customHeight="1" x14ac:dyDescent="0.3">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25.5" customHeight="1" x14ac:dyDescent="0.3">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25.5" customHeight="1" x14ac:dyDescent="0.3">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25.5" customHeight="1" x14ac:dyDescent="0.3">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25.5" customHeight="1" x14ac:dyDescent="0.3">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25.5" customHeight="1" x14ac:dyDescent="0.3">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25.5" customHeight="1" x14ac:dyDescent="0.3">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25.5" customHeight="1" x14ac:dyDescent="0.3">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25.5" customHeight="1" x14ac:dyDescent="0.3">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25.5" customHeight="1" x14ac:dyDescent="0.3">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25.5" customHeight="1" x14ac:dyDescent="0.3">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25.5" customHeight="1" x14ac:dyDescent="0.3">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25.5" customHeight="1" x14ac:dyDescent="0.3">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25.5" customHeight="1" x14ac:dyDescent="0.3">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25.5" customHeight="1" x14ac:dyDescent="0.3">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25.5" customHeight="1" x14ac:dyDescent="0.3">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25.5" customHeight="1" x14ac:dyDescent="0.3">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25.5" customHeight="1" x14ac:dyDescent="0.3">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25.5" customHeight="1" x14ac:dyDescent="0.3">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25.5" customHeight="1" x14ac:dyDescent="0.3">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25.5" customHeight="1" x14ac:dyDescent="0.3">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25.5" customHeight="1" x14ac:dyDescent="0.3">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25.5" customHeight="1" x14ac:dyDescent="0.3">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25.5" customHeight="1" x14ac:dyDescent="0.3">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25.5" customHeight="1" x14ac:dyDescent="0.3">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25.5" customHeight="1" x14ac:dyDescent="0.3">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25.5" customHeight="1" x14ac:dyDescent="0.3">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25.5" customHeight="1" x14ac:dyDescent="0.3">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25.5" customHeight="1" x14ac:dyDescent="0.3">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25.5" customHeight="1" x14ac:dyDescent="0.3">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25.5" customHeight="1" x14ac:dyDescent="0.3">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25.5" customHeight="1" x14ac:dyDescent="0.3">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25.5" customHeight="1" x14ac:dyDescent="0.3">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25.5" customHeight="1" x14ac:dyDescent="0.3">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25.5" customHeight="1" x14ac:dyDescent="0.3">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25.5" customHeight="1" x14ac:dyDescent="0.3">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25.5" customHeight="1" x14ac:dyDescent="0.3">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25.5" customHeight="1" x14ac:dyDescent="0.3">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25.5" customHeight="1" x14ac:dyDescent="0.3">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25.5" customHeight="1" x14ac:dyDescent="0.3">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25.5" customHeight="1" x14ac:dyDescent="0.3">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25.5" customHeight="1" x14ac:dyDescent="0.3">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25.5" customHeight="1" x14ac:dyDescent="0.3">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25.5" customHeight="1" x14ac:dyDescent="0.3">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25.5" customHeight="1" x14ac:dyDescent="0.3">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25.5" customHeight="1" x14ac:dyDescent="0.3">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25.5" customHeight="1" x14ac:dyDescent="0.3">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25.5" customHeight="1" x14ac:dyDescent="0.3">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25.5" customHeight="1" x14ac:dyDescent="0.3">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25.5" customHeight="1" x14ac:dyDescent="0.3">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25.5" customHeight="1" x14ac:dyDescent="0.3">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25.5" customHeight="1" x14ac:dyDescent="0.3">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25.5" customHeight="1" x14ac:dyDescent="0.3">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25.5" customHeight="1" x14ac:dyDescent="0.3">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25.5" customHeight="1" x14ac:dyDescent="0.3">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25.5" customHeight="1" x14ac:dyDescent="0.3">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25.5" customHeight="1" x14ac:dyDescent="0.3">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25.5" customHeight="1" x14ac:dyDescent="0.3">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25.5" customHeight="1" x14ac:dyDescent="0.3">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25.5" customHeight="1" x14ac:dyDescent="0.3">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25.5" customHeight="1" x14ac:dyDescent="0.3">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25.5" customHeight="1" x14ac:dyDescent="0.3">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25.5" customHeight="1" x14ac:dyDescent="0.3">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25.5" customHeight="1" x14ac:dyDescent="0.3">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25.5" customHeight="1" x14ac:dyDescent="0.3">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25.5" customHeight="1" x14ac:dyDescent="0.3">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25.5" customHeight="1" x14ac:dyDescent="0.3">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25.5" customHeight="1" x14ac:dyDescent="0.3">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25.5" customHeight="1" x14ac:dyDescent="0.3">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25.5" customHeight="1" x14ac:dyDescent="0.3">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25.5" customHeight="1" x14ac:dyDescent="0.3">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25.5" customHeight="1" x14ac:dyDescent="0.3">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25.5" customHeight="1" x14ac:dyDescent="0.3">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25.5" customHeight="1" x14ac:dyDescent="0.3">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25.5" customHeight="1" x14ac:dyDescent="0.3">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25.5" customHeight="1" x14ac:dyDescent="0.3">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25.5" customHeight="1" x14ac:dyDescent="0.3">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25.5" customHeight="1" x14ac:dyDescent="0.3">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25.5" customHeight="1" x14ac:dyDescent="0.3">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25.5" customHeight="1" x14ac:dyDescent="0.3">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25.5" customHeight="1" x14ac:dyDescent="0.3">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25.5" customHeight="1" x14ac:dyDescent="0.3">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25.5" customHeight="1" x14ac:dyDescent="0.3">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25.5" customHeight="1" x14ac:dyDescent="0.3">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25.5" customHeight="1" x14ac:dyDescent="0.3">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25.5" customHeight="1" x14ac:dyDescent="0.3">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25.5" customHeight="1" x14ac:dyDescent="0.3">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25.5" customHeight="1" x14ac:dyDescent="0.3">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25.5" customHeight="1" x14ac:dyDescent="0.3">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25.5" customHeight="1" x14ac:dyDescent="0.3">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25.5" customHeight="1" x14ac:dyDescent="0.3">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25.5" customHeight="1" x14ac:dyDescent="0.3">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25.5" customHeight="1" x14ac:dyDescent="0.3">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25.5" customHeight="1" x14ac:dyDescent="0.3">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25.5" customHeight="1" x14ac:dyDescent="0.3">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25.5" customHeight="1" x14ac:dyDescent="0.3">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25.5" customHeight="1" x14ac:dyDescent="0.3">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25.5" customHeight="1" x14ac:dyDescent="0.3">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25.5" customHeight="1" x14ac:dyDescent="0.3">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25.5" customHeight="1" x14ac:dyDescent="0.3">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25.5" customHeight="1" x14ac:dyDescent="0.3">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25.5" customHeight="1" x14ac:dyDescent="0.3">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25.5" customHeight="1" x14ac:dyDescent="0.3">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25.5" customHeight="1" x14ac:dyDescent="0.3">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25.5" customHeight="1" x14ac:dyDescent="0.3">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25.5" customHeight="1" x14ac:dyDescent="0.3">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25.5" customHeight="1" x14ac:dyDescent="0.3">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25.5" customHeight="1" x14ac:dyDescent="0.3">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25.5" customHeight="1" x14ac:dyDescent="0.3">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25.5" customHeight="1" x14ac:dyDescent="0.3">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25.5" customHeight="1" x14ac:dyDescent="0.3">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25.5" customHeight="1" x14ac:dyDescent="0.3">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25.5" customHeight="1" x14ac:dyDescent="0.3">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25.5" customHeight="1" x14ac:dyDescent="0.3">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25.5" customHeight="1" x14ac:dyDescent="0.3">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25.5" customHeight="1" x14ac:dyDescent="0.3">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25.5" customHeight="1" x14ac:dyDescent="0.3">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25.5" customHeight="1" x14ac:dyDescent="0.3">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25.5" customHeight="1" x14ac:dyDescent="0.3">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25.5" customHeight="1" x14ac:dyDescent="0.3">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25.5" customHeight="1" x14ac:dyDescent="0.3">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25.5" customHeight="1" x14ac:dyDescent="0.3">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25.5" customHeight="1" x14ac:dyDescent="0.3">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25.5" customHeight="1" x14ac:dyDescent="0.3">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25.5" customHeight="1" x14ac:dyDescent="0.3">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25.5" customHeight="1" x14ac:dyDescent="0.3">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25.5" customHeight="1" x14ac:dyDescent="0.3">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25.5" customHeight="1" x14ac:dyDescent="0.3">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25.5" customHeight="1" x14ac:dyDescent="0.3">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25.5" customHeight="1" x14ac:dyDescent="0.3">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25.5" customHeight="1" x14ac:dyDescent="0.3">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25.5" customHeight="1" x14ac:dyDescent="0.3">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25.5" customHeight="1" x14ac:dyDescent="0.3">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25.5" customHeight="1" x14ac:dyDescent="0.3">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25.5" customHeight="1" x14ac:dyDescent="0.3">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25.5" customHeight="1" x14ac:dyDescent="0.3">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25.5" customHeight="1" x14ac:dyDescent="0.3">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25.5" customHeight="1" x14ac:dyDescent="0.3">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25.5" customHeight="1" x14ac:dyDescent="0.3">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25.5" customHeight="1" x14ac:dyDescent="0.3">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25.5" customHeight="1" x14ac:dyDescent="0.3">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25.5" customHeight="1" x14ac:dyDescent="0.3">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25.5" customHeight="1" x14ac:dyDescent="0.3">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25.5" customHeight="1" x14ac:dyDescent="0.3">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25.5" customHeight="1" x14ac:dyDescent="0.3">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25.5" customHeight="1" x14ac:dyDescent="0.3">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25.5" customHeight="1" x14ac:dyDescent="0.3">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25.5" customHeight="1" x14ac:dyDescent="0.3">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25.5" customHeight="1" x14ac:dyDescent="0.3">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25.5" customHeight="1" x14ac:dyDescent="0.3">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25.5" customHeight="1" x14ac:dyDescent="0.3">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25.5" customHeight="1" x14ac:dyDescent="0.3">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25.5" customHeight="1" x14ac:dyDescent="0.3">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25.5" customHeight="1" x14ac:dyDescent="0.3">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25.5" customHeight="1" x14ac:dyDescent="0.3">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25.5" customHeight="1" x14ac:dyDescent="0.3">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25.5" customHeight="1" x14ac:dyDescent="0.3">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25.5" customHeight="1" x14ac:dyDescent="0.3">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25.5" customHeight="1" x14ac:dyDescent="0.3">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25.5" customHeight="1" x14ac:dyDescent="0.3">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25.5" customHeight="1" x14ac:dyDescent="0.3">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25.5" customHeight="1" x14ac:dyDescent="0.3">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25.5" customHeight="1" x14ac:dyDescent="0.3">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25.5" customHeight="1" x14ac:dyDescent="0.3">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25.5" customHeight="1" x14ac:dyDescent="0.3">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25.5" customHeight="1" x14ac:dyDescent="0.3">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25.5" customHeight="1" x14ac:dyDescent="0.3">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25.5" customHeight="1" x14ac:dyDescent="0.3">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25.5" customHeight="1" x14ac:dyDescent="0.3">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25.5" customHeight="1" x14ac:dyDescent="0.3">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25.5" customHeight="1" x14ac:dyDescent="0.3">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25.5" customHeight="1" x14ac:dyDescent="0.3">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25.5" customHeight="1" x14ac:dyDescent="0.3">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25.5" customHeight="1" x14ac:dyDescent="0.3">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25.5" customHeight="1" x14ac:dyDescent="0.3">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25.5" customHeight="1" x14ac:dyDescent="0.3">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25.5" customHeight="1" x14ac:dyDescent="0.3">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25.5" customHeight="1" x14ac:dyDescent="0.3">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25.5" customHeight="1" x14ac:dyDescent="0.3">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25.5" customHeight="1" x14ac:dyDescent="0.3">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25.5" customHeight="1" x14ac:dyDescent="0.3">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25.5" customHeight="1" x14ac:dyDescent="0.3">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25.5" customHeight="1" x14ac:dyDescent="0.3">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25.5" customHeight="1" x14ac:dyDescent="0.3">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25.5" customHeight="1" x14ac:dyDescent="0.3">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25.5" customHeight="1" x14ac:dyDescent="0.3">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25.5" customHeight="1" x14ac:dyDescent="0.3">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25.5" customHeight="1" x14ac:dyDescent="0.3">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25.5" customHeight="1" x14ac:dyDescent="0.3">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25.5" customHeight="1" x14ac:dyDescent="0.3">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25.5" customHeight="1" x14ac:dyDescent="0.3">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25.5" customHeight="1" x14ac:dyDescent="0.3">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25.5" customHeight="1" x14ac:dyDescent="0.3">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25.5" customHeight="1" x14ac:dyDescent="0.3">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25.5" customHeight="1" x14ac:dyDescent="0.3">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25.5" customHeight="1" x14ac:dyDescent="0.3">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25.5" customHeight="1" x14ac:dyDescent="0.3">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25.5" customHeight="1" x14ac:dyDescent="0.3">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25.5" customHeight="1" x14ac:dyDescent="0.3">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25.5" customHeight="1" x14ac:dyDescent="0.3">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25.5" customHeight="1" x14ac:dyDescent="0.3">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25.5" customHeight="1" x14ac:dyDescent="0.3">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25.5" customHeight="1" x14ac:dyDescent="0.3">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25.5" customHeight="1" x14ac:dyDescent="0.3">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25.5" customHeight="1" x14ac:dyDescent="0.3">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25.5" customHeight="1" x14ac:dyDescent="0.3">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25.5" customHeight="1" x14ac:dyDescent="0.3">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25.5" customHeight="1" x14ac:dyDescent="0.3">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25.5" customHeight="1" x14ac:dyDescent="0.3">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25.5" customHeight="1" x14ac:dyDescent="0.3">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25.5" customHeight="1" x14ac:dyDescent="0.3">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25.5" customHeight="1" x14ac:dyDescent="0.3">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25.5" customHeight="1" x14ac:dyDescent="0.3">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25.5" customHeight="1" x14ac:dyDescent="0.3">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25.5" customHeight="1" x14ac:dyDescent="0.3">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25.5" customHeight="1" x14ac:dyDescent="0.3">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25.5" customHeight="1" x14ac:dyDescent="0.3">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25.5" customHeight="1" x14ac:dyDescent="0.3">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25.5" customHeight="1" x14ac:dyDescent="0.3">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25.5" customHeight="1" x14ac:dyDescent="0.3">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25.5" customHeight="1" x14ac:dyDescent="0.3">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25.5" customHeight="1" x14ac:dyDescent="0.3">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25.5" customHeight="1" x14ac:dyDescent="0.3">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25.5" customHeight="1" x14ac:dyDescent="0.3">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25.5" customHeight="1" x14ac:dyDescent="0.3">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25.5" customHeight="1" x14ac:dyDescent="0.3">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25.5" customHeight="1" x14ac:dyDescent="0.3">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25.5" customHeight="1" x14ac:dyDescent="0.3">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25.5" customHeight="1" x14ac:dyDescent="0.3">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25.5" customHeight="1" x14ac:dyDescent="0.3">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25.5" customHeight="1" x14ac:dyDescent="0.3">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25.5" customHeight="1" x14ac:dyDescent="0.3">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25.5" customHeight="1" x14ac:dyDescent="0.3">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25.5" customHeight="1" x14ac:dyDescent="0.3">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25.5" customHeight="1" x14ac:dyDescent="0.3">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25.5" customHeight="1" x14ac:dyDescent="0.3">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25.5" customHeight="1" x14ac:dyDescent="0.3">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25.5" customHeight="1" x14ac:dyDescent="0.3">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25.5" customHeight="1" x14ac:dyDescent="0.3">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25.5" customHeight="1" x14ac:dyDescent="0.3">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25.5" customHeight="1" x14ac:dyDescent="0.3">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25.5" customHeight="1" x14ac:dyDescent="0.3">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25.5" customHeight="1" x14ac:dyDescent="0.3">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25.5" customHeight="1" x14ac:dyDescent="0.3">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25.5" customHeight="1" x14ac:dyDescent="0.3">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25.5" customHeight="1" x14ac:dyDescent="0.3">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25.5" customHeight="1" x14ac:dyDescent="0.3">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25.5" customHeight="1" x14ac:dyDescent="0.3">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25.5" customHeight="1" x14ac:dyDescent="0.3">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25.5" customHeight="1" x14ac:dyDescent="0.3">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9">
    <mergeCell ref="A16:A18"/>
    <mergeCell ref="A1:A2"/>
    <mergeCell ref="B1:B2"/>
    <mergeCell ref="C1:F1"/>
    <mergeCell ref="G1:K1"/>
    <mergeCell ref="A3:A6"/>
    <mergeCell ref="A7:A11"/>
    <mergeCell ref="A12:A13"/>
    <mergeCell ref="A14:A15"/>
  </mergeCells>
  <pageMargins left="0.7" right="0.7" top="0.75" bottom="0.75" header="0" footer="0"/>
  <pageSetup orientation="landscape"/>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8CBE7"/>
  </sheetPr>
  <dimension ref="A1:AB1000"/>
  <sheetViews>
    <sheetView workbookViewId="0">
      <pane ySplit="2" topLeftCell="A3" activePane="bottomLeft" state="frozen"/>
      <selection pane="bottomLeft" activeCell="B4" sqref="B4"/>
    </sheetView>
  </sheetViews>
  <sheetFormatPr baseColWidth="10" defaultColWidth="14.5" defaultRowHeight="15" customHeight="1" x14ac:dyDescent="0.2"/>
  <cols>
    <col min="1" max="1" width="18.5" customWidth="1"/>
    <col min="2" max="2" width="59.6640625" customWidth="1"/>
    <col min="3" max="3" width="25.6640625" customWidth="1"/>
    <col min="4" max="4" width="23.5" customWidth="1"/>
    <col min="5" max="5" width="22.83203125" customWidth="1"/>
    <col min="6" max="6" width="30.5" customWidth="1"/>
    <col min="7" max="10" width="25.83203125" customWidth="1"/>
    <col min="11" max="11" width="29.33203125" customWidth="1"/>
    <col min="12" max="13" width="25.83203125" customWidth="1"/>
    <col min="14" max="28" width="10.83203125" customWidth="1"/>
  </cols>
  <sheetData>
    <row r="1" spans="1:28" ht="27.75" customHeight="1" x14ac:dyDescent="0.25">
      <c r="A1" s="606" t="s">
        <v>378</v>
      </c>
      <c r="B1" s="608" t="s">
        <v>330</v>
      </c>
      <c r="C1" s="609" t="s">
        <v>379</v>
      </c>
      <c r="D1" s="610"/>
      <c r="E1" s="610"/>
      <c r="F1" s="610"/>
      <c r="G1" s="610"/>
      <c r="H1" s="611"/>
      <c r="I1" s="612" t="s">
        <v>503</v>
      </c>
      <c r="J1" s="610"/>
      <c r="K1" s="610"/>
      <c r="L1" s="610"/>
      <c r="M1" s="611"/>
      <c r="N1" s="358"/>
      <c r="O1" s="358"/>
      <c r="P1" s="358"/>
      <c r="Q1" s="358"/>
      <c r="R1" s="358"/>
      <c r="S1" s="358"/>
      <c r="T1" s="358"/>
      <c r="U1" s="358"/>
      <c r="V1" s="358"/>
      <c r="W1" s="358"/>
      <c r="X1" s="358"/>
      <c r="Y1" s="358"/>
      <c r="Z1" s="358"/>
      <c r="AA1" s="358"/>
      <c r="AB1" s="358"/>
    </row>
    <row r="2" spans="1:28" ht="27.75" customHeight="1" x14ac:dyDescent="0.25">
      <c r="A2" s="607"/>
      <c r="B2" s="623"/>
      <c r="C2" s="129" t="s">
        <v>381</v>
      </c>
      <c r="D2" s="130" t="s">
        <v>382</v>
      </c>
      <c r="E2" s="131" t="s">
        <v>383</v>
      </c>
      <c r="F2" s="132" t="s">
        <v>384</v>
      </c>
      <c r="G2" s="133" t="s">
        <v>456</v>
      </c>
      <c r="H2" s="134" t="s">
        <v>386</v>
      </c>
      <c r="I2" s="135" t="s">
        <v>381</v>
      </c>
      <c r="J2" s="136" t="s">
        <v>384</v>
      </c>
      <c r="K2" s="137" t="s">
        <v>456</v>
      </c>
      <c r="L2" s="138" t="s">
        <v>386</v>
      </c>
      <c r="M2" s="139" t="s">
        <v>677</v>
      </c>
    </row>
    <row r="3" spans="1:28" ht="27.75" customHeight="1" x14ac:dyDescent="0.3">
      <c r="A3" s="700" t="s">
        <v>678</v>
      </c>
      <c r="B3" s="145" t="s">
        <v>679</v>
      </c>
      <c r="C3" s="194">
        <v>1600</v>
      </c>
      <c r="D3" s="143">
        <v>0</v>
      </c>
      <c r="E3" s="194">
        <v>0</v>
      </c>
      <c r="F3" s="193">
        <v>2143.92</v>
      </c>
      <c r="G3" s="194">
        <v>0</v>
      </c>
      <c r="H3" s="546">
        <f t="shared" ref="H3:H6" si="0">F3+G3-C3</f>
        <v>543.92000000000007</v>
      </c>
      <c r="I3" s="194">
        <f>SUMIFS('Cashbook ING'!$B:$B, 'Cashbook ING'!$A:$A, "AMSUnlocked_Investment")</f>
        <v>0</v>
      </c>
      <c r="J3" s="194">
        <v>0</v>
      </c>
      <c r="K3" s="194">
        <v>0</v>
      </c>
      <c r="L3" s="245">
        <f t="shared" ref="L3:L6" si="1">J3+K3+I3</f>
        <v>0</v>
      </c>
      <c r="M3" s="228">
        <f t="shared" ref="M3:M6" si="2">L3-H3</f>
        <v>-543.92000000000007</v>
      </c>
    </row>
    <row r="4" spans="1:28" ht="27.75" customHeight="1" x14ac:dyDescent="0.3">
      <c r="A4" s="627"/>
      <c r="B4" s="145" t="s">
        <v>680</v>
      </c>
      <c r="C4" s="178">
        <v>2300</v>
      </c>
      <c r="D4" s="143">
        <v>0</v>
      </c>
      <c r="E4" s="194">
        <v>0</v>
      </c>
      <c r="F4" s="193">
        <v>2300</v>
      </c>
      <c r="G4" s="194">
        <v>0</v>
      </c>
      <c r="H4" s="228">
        <f t="shared" si="0"/>
        <v>0</v>
      </c>
      <c r="I4" s="194">
        <f>SUMIFS('Cashbook ING'!$B:$B, 'Cashbook ING'!$A:$A, "AMSUnlocked_Unforeseen")</f>
        <v>0</v>
      </c>
      <c r="J4" s="194">
        <v>0</v>
      </c>
      <c r="K4" s="194">
        <v>0</v>
      </c>
      <c r="L4" s="245">
        <f t="shared" si="1"/>
        <v>0</v>
      </c>
      <c r="M4" s="228">
        <f t="shared" si="2"/>
        <v>0</v>
      </c>
    </row>
    <row r="5" spans="1:28" ht="27.75" customHeight="1" x14ac:dyDescent="0.3">
      <c r="A5" s="627"/>
      <c r="B5" s="145" t="s">
        <v>550</v>
      </c>
      <c r="C5" s="194">
        <v>0</v>
      </c>
      <c r="D5" s="143">
        <v>0</v>
      </c>
      <c r="E5" s="194">
        <v>0</v>
      </c>
      <c r="F5" s="194">
        <v>0</v>
      </c>
      <c r="G5" s="194">
        <v>0</v>
      </c>
      <c r="H5" s="228">
        <f t="shared" si="0"/>
        <v>0</v>
      </c>
      <c r="I5" s="194">
        <f>SUMIFS('Cashbook ING'!$B:$B, 'Cashbook ING'!$A:$A, "AMSUnlocked_Liquidity")</f>
        <v>0</v>
      </c>
      <c r="J5" s="194">
        <v>0</v>
      </c>
      <c r="K5" s="194">
        <v>0</v>
      </c>
      <c r="L5" s="245">
        <f t="shared" si="1"/>
        <v>0</v>
      </c>
      <c r="M5" s="228">
        <f t="shared" si="2"/>
        <v>0</v>
      </c>
    </row>
    <row r="6" spans="1:28" ht="27.75" customHeight="1" x14ac:dyDescent="0.3">
      <c r="A6" s="701"/>
      <c r="B6" s="145" t="s">
        <v>681</v>
      </c>
      <c r="C6" s="194">
        <v>0</v>
      </c>
      <c r="D6" s="143">
        <v>0</v>
      </c>
      <c r="E6" s="194">
        <v>0</v>
      </c>
      <c r="F6" s="194">
        <v>0</v>
      </c>
      <c r="G6" s="194">
        <v>0</v>
      </c>
      <c r="H6" s="547">
        <f t="shared" si="0"/>
        <v>0</v>
      </c>
      <c r="I6" s="194">
        <f>SUMIFS('Cashbook ING'!$B:$B, 'Cashbook ING'!$A:$A, "AMSUnlocked_Return")</f>
        <v>0</v>
      </c>
      <c r="J6" s="194">
        <v>0</v>
      </c>
      <c r="K6" s="194">
        <v>0</v>
      </c>
      <c r="L6" s="245">
        <f t="shared" si="1"/>
        <v>0</v>
      </c>
      <c r="M6" s="228">
        <f t="shared" si="2"/>
        <v>0</v>
      </c>
    </row>
    <row r="7" spans="1:28" ht="27.75" customHeight="1" x14ac:dyDescent="0.3">
      <c r="A7" s="548"/>
      <c r="B7" s="549" t="s">
        <v>511</v>
      </c>
      <c r="C7" s="550">
        <f t="shared" ref="C7:M7" si="3">SUM(C3:C6)</f>
        <v>3900</v>
      </c>
      <c r="D7" s="551">
        <f t="shared" si="3"/>
        <v>0</v>
      </c>
      <c r="E7" s="550">
        <f t="shared" si="3"/>
        <v>0</v>
      </c>
      <c r="F7" s="550">
        <f t="shared" si="3"/>
        <v>4443.92</v>
      </c>
      <c r="G7" s="550">
        <f t="shared" si="3"/>
        <v>0</v>
      </c>
      <c r="H7" s="552">
        <f t="shared" si="3"/>
        <v>543.92000000000007</v>
      </c>
      <c r="I7" s="550">
        <f t="shared" si="3"/>
        <v>0</v>
      </c>
      <c r="J7" s="550">
        <f t="shared" si="3"/>
        <v>0</v>
      </c>
      <c r="K7" s="550">
        <f t="shared" si="3"/>
        <v>0</v>
      </c>
      <c r="L7" s="552">
        <f t="shared" si="3"/>
        <v>0</v>
      </c>
      <c r="M7" s="552">
        <f t="shared" si="3"/>
        <v>-543.92000000000007</v>
      </c>
    </row>
    <row r="8" spans="1:28" ht="27.75" customHeight="1" x14ac:dyDescent="0.2"/>
    <row r="9" spans="1:28" ht="27.75" customHeight="1" x14ac:dyDescent="0.2"/>
    <row r="10" spans="1:28" ht="27.75" customHeight="1" x14ac:dyDescent="0.2">
      <c r="A10" s="702"/>
      <c r="B10" s="667"/>
      <c r="C10" s="667"/>
      <c r="D10" s="667"/>
      <c r="E10" s="667"/>
      <c r="F10" s="667"/>
      <c r="G10" s="667"/>
      <c r="H10" s="667"/>
      <c r="U10" s="703"/>
      <c r="V10" s="667"/>
      <c r="W10" s="667"/>
      <c r="X10" s="667"/>
    </row>
    <row r="11" spans="1:28" ht="27.75" customHeight="1" x14ac:dyDescent="0.2">
      <c r="A11" s="702"/>
      <c r="B11" s="667"/>
      <c r="C11" s="667"/>
      <c r="D11" s="667"/>
      <c r="E11" s="702"/>
      <c r="F11" s="667"/>
      <c r="G11" s="667"/>
      <c r="H11" s="667"/>
      <c r="U11" s="553"/>
      <c r="V11" s="554"/>
      <c r="W11" s="554"/>
      <c r="X11" s="554"/>
    </row>
    <row r="12" spans="1:28" ht="27.75" customHeight="1" x14ac:dyDescent="0.2">
      <c r="A12" s="553"/>
      <c r="B12" s="554"/>
      <c r="C12" s="554"/>
      <c r="D12" s="554"/>
      <c r="E12" s="553"/>
      <c r="F12" s="553"/>
      <c r="G12" s="553"/>
      <c r="H12" s="553"/>
      <c r="U12" s="555"/>
      <c r="V12" s="556"/>
      <c r="W12" s="556"/>
      <c r="X12" s="556"/>
    </row>
    <row r="13" spans="1:28" ht="14.25" customHeight="1" x14ac:dyDescent="0.2">
      <c r="A13" s="555"/>
      <c r="B13" s="556"/>
      <c r="C13" s="557"/>
      <c r="D13" s="557"/>
      <c r="E13" s="555"/>
      <c r="F13" s="556"/>
      <c r="G13" s="557"/>
      <c r="H13" s="557"/>
      <c r="U13" s="555"/>
      <c r="V13" s="556"/>
      <c r="W13" s="556"/>
      <c r="X13" s="556"/>
    </row>
    <row r="14" spans="1:28" ht="14.25" customHeight="1" x14ac:dyDescent="0.2">
      <c r="A14" s="555"/>
      <c r="B14" s="556"/>
      <c r="C14" s="557"/>
      <c r="D14" s="557"/>
      <c r="E14" s="555"/>
      <c r="F14" s="557"/>
      <c r="G14" s="557"/>
      <c r="H14" s="557"/>
      <c r="U14" s="555"/>
      <c r="V14" s="556"/>
      <c r="W14" s="556"/>
      <c r="X14" s="556"/>
    </row>
    <row r="15" spans="1:28" ht="14.25" customHeight="1" x14ac:dyDescent="0.2">
      <c r="A15" s="555"/>
      <c r="B15" s="556"/>
      <c r="C15" s="557"/>
      <c r="D15" s="557"/>
      <c r="E15" s="555"/>
      <c r="F15" s="557"/>
      <c r="G15" s="557"/>
      <c r="H15" s="557"/>
      <c r="U15" s="555"/>
      <c r="V15" s="556"/>
      <c r="W15" s="556"/>
      <c r="X15" s="556"/>
    </row>
    <row r="16" spans="1:28" ht="14.25" customHeight="1" x14ac:dyDescent="0.2">
      <c r="A16" s="555"/>
      <c r="B16" s="556"/>
      <c r="C16" s="557"/>
      <c r="D16" s="557"/>
      <c r="E16" s="555"/>
      <c r="F16" s="557"/>
      <c r="G16" s="557"/>
      <c r="H16" s="557"/>
      <c r="U16" s="555"/>
      <c r="V16" s="556"/>
      <c r="W16" s="556"/>
      <c r="X16" s="556"/>
    </row>
    <row r="17" spans="1:24" ht="14.25" customHeight="1" x14ac:dyDescent="0.2">
      <c r="A17" s="555"/>
      <c r="B17" s="556"/>
      <c r="C17" s="557"/>
      <c r="D17" s="557"/>
      <c r="E17" s="555"/>
      <c r="F17" s="557"/>
      <c r="G17" s="557"/>
      <c r="H17" s="557"/>
      <c r="U17" s="553"/>
      <c r="V17" s="556"/>
      <c r="W17" s="556"/>
      <c r="X17" s="556"/>
    </row>
    <row r="18" spans="1:24" ht="14.25" customHeight="1" x14ac:dyDescent="0.2">
      <c r="A18" s="555"/>
      <c r="B18" s="556"/>
      <c r="C18" s="557"/>
      <c r="D18" s="557"/>
      <c r="E18" s="555"/>
      <c r="F18" s="557"/>
      <c r="G18" s="557"/>
      <c r="H18" s="557"/>
    </row>
    <row r="19" spans="1:24" ht="14.25" customHeight="1" x14ac:dyDescent="0.2">
      <c r="A19" s="555"/>
      <c r="B19" s="556"/>
      <c r="C19" s="557"/>
      <c r="D19" s="557"/>
      <c r="E19" s="555"/>
      <c r="F19" s="557"/>
      <c r="G19" s="557"/>
      <c r="H19" s="557"/>
    </row>
    <row r="20" spans="1:24" ht="14.25" customHeight="1" x14ac:dyDescent="0.2">
      <c r="A20" s="555"/>
      <c r="B20" s="556"/>
      <c r="C20" s="557"/>
      <c r="D20" s="557"/>
      <c r="E20" s="555"/>
      <c r="F20" s="557"/>
      <c r="G20" s="557"/>
      <c r="H20" s="557"/>
    </row>
    <row r="21" spans="1:24" ht="14.25" customHeight="1" x14ac:dyDescent="0.2">
      <c r="A21" s="555"/>
      <c r="B21" s="556"/>
      <c r="C21" s="557"/>
      <c r="D21" s="557"/>
      <c r="E21" s="555"/>
      <c r="F21" s="557"/>
      <c r="G21" s="557"/>
      <c r="H21" s="557"/>
    </row>
    <row r="22" spans="1:24" ht="14.25" customHeight="1" x14ac:dyDescent="0.2">
      <c r="A22" s="555"/>
      <c r="B22" s="556"/>
      <c r="C22" s="557"/>
      <c r="D22" s="557"/>
      <c r="E22" s="555"/>
      <c r="F22" s="557"/>
      <c r="G22" s="557"/>
      <c r="H22" s="557"/>
    </row>
    <row r="23" spans="1:24" ht="14.25" customHeight="1" x14ac:dyDescent="0.2">
      <c r="A23" s="555"/>
      <c r="B23" s="556"/>
      <c r="C23" s="557"/>
      <c r="D23" s="557"/>
      <c r="E23" s="555"/>
      <c r="F23" s="557"/>
      <c r="G23" s="557"/>
      <c r="H23" s="557"/>
    </row>
    <row r="24" spans="1:24" ht="14.25" customHeight="1" x14ac:dyDescent="0.2">
      <c r="A24" s="555"/>
      <c r="B24" s="556"/>
      <c r="C24" s="557"/>
      <c r="D24" s="557"/>
      <c r="E24" s="555"/>
      <c r="F24" s="557"/>
      <c r="G24" s="557"/>
      <c r="H24" s="557"/>
    </row>
    <row r="25" spans="1:24" ht="14.25" customHeight="1" x14ac:dyDescent="0.2">
      <c r="A25" s="555"/>
      <c r="B25" s="556"/>
      <c r="C25" s="557"/>
      <c r="D25" s="557"/>
      <c r="E25" s="555"/>
      <c r="F25" s="557"/>
      <c r="G25" s="557"/>
      <c r="H25" s="557"/>
    </row>
    <row r="26" spans="1:24" ht="14.25" customHeight="1" x14ac:dyDescent="0.2">
      <c r="A26" s="555"/>
      <c r="B26" s="556"/>
      <c r="C26" s="557"/>
      <c r="D26" s="557"/>
      <c r="E26" s="555"/>
      <c r="F26" s="557"/>
      <c r="G26" s="557"/>
      <c r="H26" s="557"/>
    </row>
    <row r="27" spans="1:24" ht="14.25" customHeight="1" x14ac:dyDescent="0.2">
      <c r="A27" s="555"/>
      <c r="B27" s="556"/>
      <c r="C27" s="557"/>
      <c r="D27" s="557"/>
      <c r="E27" s="555"/>
      <c r="F27" s="557"/>
      <c r="G27" s="557"/>
      <c r="H27" s="557"/>
    </row>
    <row r="28" spans="1:24" ht="14.25" customHeight="1" x14ac:dyDescent="0.2">
      <c r="A28" s="555"/>
      <c r="B28" s="556"/>
      <c r="C28" s="557"/>
      <c r="D28" s="557"/>
      <c r="E28" s="555"/>
      <c r="F28" s="557"/>
      <c r="G28" s="557"/>
      <c r="H28" s="557"/>
    </row>
    <row r="29" spans="1:24" ht="14.25" customHeight="1" x14ac:dyDescent="0.2">
      <c r="A29" s="555"/>
      <c r="B29" s="556"/>
      <c r="C29" s="557"/>
      <c r="D29" s="557"/>
      <c r="E29" s="555"/>
      <c r="F29" s="557"/>
      <c r="G29" s="557"/>
      <c r="H29" s="557"/>
    </row>
    <row r="30" spans="1:24" ht="14.25" customHeight="1" x14ac:dyDescent="0.2">
      <c r="A30" s="555"/>
      <c r="B30" s="556"/>
      <c r="C30" s="557"/>
      <c r="D30" s="557"/>
      <c r="E30" s="555"/>
      <c r="F30" s="557"/>
      <c r="G30" s="557"/>
      <c r="H30" s="557"/>
    </row>
    <row r="31" spans="1:24" ht="25.5" customHeight="1" x14ac:dyDescent="0.2">
      <c r="A31" s="555"/>
      <c r="B31" s="556"/>
      <c r="C31" s="557"/>
      <c r="D31" s="557"/>
      <c r="E31" s="555"/>
      <c r="F31" s="557"/>
      <c r="G31" s="557"/>
      <c r="H31" s="557"/>
    </row>
    <row r="32" spans="1:24" ht="14.25" customHeight="1" x14ac:dyDescent="0.2">
      <c r="A32" s="555"/>
      <c r="B32" s="556"/>
      <c r="C32" s="557"/>
      <c r="D32" s="557"/>
      <c r="E32" s="555"/>
      <c r="F32" s="557"/>
      <c r="G32" s="557"/>
      <c r="H32" s="557"/>
    </row>
    <row r="33" spans="1:8" ht="14.25" customHeight="1" x14ac:dyDescent="0.2">
      <c r="A33" s="553"/>
      <c r="B33" s="557"/>
      <c r="C33" s="557"/>
      <c r="D33" s="558"/>
      <c r="E33" s="555"/>
      <c r="F33" s="557"/>
      <c r="G33" s="557"/>
      <c r="H33" s="558"/>
    </row>
    <row r="34" spans="1:8" ht="14.25" customHeight="1" x14ac:dyDescent="0.2"/>
    <row r="35" spans="1:8" ht="14.25" customHeight="1" x14ac:dyDescent="0.2"/>
    <row r="36" spans="1:8" ht="14.25" customHeight="1" x14ac:dyDescent="0.2"/>
    <row r="37" spans="1:8" ht="14.25" customHeight="1" x14ac:dyDescent="0.2"/>
    <row r="38" spans="1:8" ht="14.25" customHeight="1" x14ac:dyDescent="0.2"/>
    <row r="39" spans="1:8" ht="14.25" customHeight="1" x14ac:dyDescent="0.2"/>
    <row r="40" spans="1:8" ht="14.25" customHeight="1" x14ac:dyDescent="0.2"/>
    <row r="41" spans="1:8" ht="14.25" customHeight="1" x14ac:dyDescent="0.2"/>
    <row r="42" spans="1:8" ht="14.25" customHeight="1" x14ac:dyDescent="0.2"/>
    <row r="43" spans="1:8" ht="14.25" customHeight="1" x14ac:dyDescent="0.2"/>
    <row r="44" spans="1:8" ht="14.25" customHeight="1" x14ac:dyDescent="0.2"/>
    <row r="45" spans="1:8" ht="14.25" customHeight="1" x14ac:dyDescent="0.2"/>
    <row r="46" spans="1:8" ht="14.25" customHeight="1" x14ac:dyDescent="0.2"/>
    <row r="47" spans="1:8" ht="14.25" customHeight="1" x14ac:dyDescent="0.2"/>
    <row r="48" spans="1: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9">
    <mergeCell ref="I1:M1"/>
    <mergeCell ref="A3:A6"/>
    <mergeCell ref="A10:H10"/>
    <mergeCell ref="U10:X10"/>
    <mergeCell ref="A11:D11"/>
    <mergeCell ref="E11:H11"/>
    <mergeCell ref="A1:A2"/>
    <mergeCell ref="B1:B2"/>
    <mergeCell ref="C1:H1"/>
  </mergeCells>
  <conditionalFormatting sqref="A1:C1 I1:AB1 A2 H2 L2:M6">
    <cfRule type="cellIs" dxfId="9" priority="1" operator="lessThan">
      <formula>0</formula>
    </cfRule>
  </conditionalFormatting>
  <conditionalFormatting sqref="A3:K4 B7:M7">
    <cfRule type="cellIs" dxfId="8" priority="2" operator="lessThan">
      <formula>0</formula>
    </cfRule>
  </conditionalFormatting>
  <conditionalFormatting sqref="B5:L6">
    <cfRule type="cellIs" dxfId="7" priority="3" operator="lessThan">
      <formula>0</formula>
    </cfRule>
  </conditionalFormatting>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M999"/>
  <sheetViews>
    <sheetView workbookViewId="0">
      <selection sqref="A1:A2"/>
    </sheetView>
  </sheetViews>
  <sheetFormatPr baseColWidth="10" defaultColWidth="14.5" defaultRowHeight="15" customHeight="1" x14ac:dyDescent="0.2"/>
  <cols>
    <col min="1" max="1" width="26.33203125" customWidth="1"/>
    <col min="2" max="2" width="36.83203125" customWidth="1"/>
    <col min="3" max="3" width="25" customWidth="1"/>
    <col min="4" max="4" width="17.33203125" customWidth="1"/>
    <col min="5" max="5" width="14.6640625" customWidth="1"/>
    <col min="6" max="6" width="18.6640625" customWidth="1"/>
    <col min="7" max="7" width="37.1640625" customWidth="1"/>
    <col min="8" max="8" width="18.83203125" customWidth="1"/>
    <col min="9" max="9" width="18.1640625" customWidth="1"/>
    <col min="10" max="10" width="15" customWidth="1"/>
    <col min="11" max="11" width="22" customWidth="1"/>
    <col min="12" max="12" width="19.83203125" customWidth="1"/>
    <col min="13" max="13" width="22.33203125" customWidth="1"/>
    <col min="14" max="26" width="8.83203125" customWidth="1"/>
  </cols>
  <sheetData>
    <row r="1" spans="1:13" ht="27.75" customHeight="1" x14ac:dyDescent="0.25">
      <c r="A1" s="606" t="s">
        <v>378</v>
      </c>
      <c r="B1" s="608" t="s">
        <v>330</v>
      </c>
      <c r="C1" s="609" t="s">
        <v>379</v>
      </c>
      <c r="D1" s="610"/>
      <c r="E1" s="610"/>
      <c r="F1" s="610"/>
      <c r="G1" s="610"/>
      <c r="H1" s="611"/>
      <c r="I1" s="612" t="s">
        <v>503</v>
      </c>
      <c r="J1" s="610"/>
      <c r="K1" s="610"/>
      <c r="L1" s="610"/>
      <c r="M1" s="611"/>
    </row>
    <row r="2" spans="1:13" ht="27.75" customHeight="1" x14ac:dyDescent="0.25">
      <c r="A2" s="607"/>
      <c r="B2" s="623"/>
      <c r="C2" s="129" t="s">
        <v>381</v>
      </c>
      <c r="D2" s="130" t="s">
        <v>382</v>
      </c>
      <c r="E2" s="131" t="s">
        <v>383</v>
      </c>
      <c r="F2" s="132" t="s">
        <v>384</v>
      </c>
      <c r="G2" s="133" t="s">
        <v>456</v>
      </c>
      <c r="H2" s="134" t="s">
        <v>386</v>
      </c>
      <c r="I2" s="135" t="s">
        <v>381</v>
      </c>
      <c r="J2" s="136" t="s">
        <v>384</v>
      </c>
      <c r="K2" s="137" t="s">
        <v>456</v>
      </c>
      <c r="L2" s="138" t="s">
        <v>386</v>
      </c>
      <c r="M2" s="139" t="s">
        <v>457</v>
      </c>
    </row>
    <row r="3" spans="1:13" ht="27.75" customHeight="1" x14ac:dyDescent="0.3">
      <c r="A3" s="670" t="s">
        <v>682</v>
      </c>
      <c r="B3" s="343" t="s">
        <v>683</v>
      </c>
      <c r="C3" s="226">
        <v>200</v>
      </c>
      <c r="D3" s="227">
        <v>0</v>
      </c>
      <c r="E3" s="226">
        <v>0</v>
      </c>
      <c r="F3" s="226">
        <v>0</v>
      </c>
      <c r="G3" s="277">
        <v>200</v>
      </c>
      <c r="H3" s="559">
        <f t="shared" ref="H3:H5" si="0">F3+G3-C3</f>
        <v>0</v>
      </c>
      <c r="I3" s="226">
        <f>SUMIFS('Cashbook ING'!$B:$B, 'Cashbook ING'!$A:$A, "AIMClubs_MusicTaskForce_RoomRental")</f>
        <v>0</v>
      </c>
      <c r="J3" s="226">
        <v>0</v>
      </c>
      <c r="K3" s="226">
        <v>0</v>
      </c>
      <c r="L3" s="343">
        <f>IF(I3 &lt; G3, 0) + IF(-I3 &gt; G3, I3 - -G3) + IF(I3 = G3, 0)</f>
        <v>0</v>
      </c>
      <c r="M3" s="145">
        <f t="shared" ref="M3:M5" si="1">L3-H3</f>
        <v>0</v>
      </c>
    </row>
    <row r="4" spans="1:13" ht="27.75" customHeight="1" x14ac:dyDescent="0.3">
      <c r="A4" s="620"/>
      <c r="B4" s="145" t="s">
        <v>529</v>
      </c>
      <c r="C4" s="194">
        <v>40</v>
      </c>
      <c r="D4" s="143">
        <v>0</v>
      </c>
      <c r="E4" s="194">
        <v>0</v>
      </c>
      <c r="F4" s="194">
        <v>0</v>
      </c>
      <c r="G4" s="193">
        <v>40</v>
      </c>
      <c r="H4" s="231">
        <f t="shared" si="0"/>
        <v>0</v>
      </c>
      <c r="I4" s="194">
        <f>SUMIFS('Cashbook ING'!$B:$B, 'Cashbook ING'!$A:$A, "AIMClubs_MusicTaskForce_Snacks")</f>
        <v>0</v>
      </c>
      <c r="J4" s="194">
        <v>0</v>
      </c>
      <c r="K4" s="194">
        <v>0</v>
      </c>
      <c r="L4" s="145">
        <v>0</v>
      </c>
      <c r="M4" s="145">
        <f t="shared" si="1"/>
        <v>0</v>
      </c>
    </row>
    <row r="5" spans="1:13" ht="27.75" customHeight="1" x14ac:dyDescent="0.3">
      <c r="A5" s="620"/>
      <c r="B5" s="145" t="s">
        <v>550</v>
      </c>
      <c r="C5" s="194">
        <v>0</v>
      </c>
      <c r="D5" s="143">
        <v>0</v>
      </c>
      <c r="E5" s="194">
        <v>0</v>
      </c>
      <c r="F5" s="194">
        <f>E5*D5</f>
        <v>0</v>
      </c>
      <c r="G5" s="194">
        <v>0</v>
      </c>
      <c r="H5" s="231">
        <f t="shared" si="0"/>
        <v>0</v>
      </c>
      <c r="I5" s="194">
        <v>0</v>
      </c>
      <c r="J5" s="194">
        <f>SUMIFS('Cashbook Wix'!$B$2:$B$7106,'Cashbook Wix'!$A$2:$A$7106,"AIMTeams")</f>
        <v>0</v>
      </c>
      <c r="K5" s="194">
        <v>0</v>
      </c>
      <c r="L5" s="145">
        <f>J5+K5+I5</f>
        <v>0</v>
      </c>
      <c r="M5" s="145">
        <f t="shared" si="1"/>
        <v>0</v>
      </c>
    </row>
    <row r="6" spans="1:13" ht="27.75" customHeight="1" x14ac:dyDescent="0.3">
      <c r="A6" s="621"/>
      <c r="B6" s="560" t="s">
        <v>511</v>
      </c>
      <c r="C6" s="561">
        <f t="shared" ref="C6:M6" si="2">SUM(C3:C5)</f>
        <v>240</v>
      </c>
      <c r="D6" s="562">
        <f t="shared" si="2"/>
        <v>0</v>
      </c>
      <c r="E6" s="561">
        <f t="shared" si="2"/>
        <v>0</v>
      </c>
      <c r="F6" s="561">
        <f t="shared" si="2"/>
        <v>0</v>
      </c>
      <c r="G6" s="561">
        <f t="shared" si="2"/>
        <v>240</v>
      </c>
      <c r="H6" s="560">
        <f t="shared" si="2"/>
        <v>0</v>
      </c>
      <c r="I6" s="561">
        <f t="shared" si="2"/>
        <v>0</v>
      </c>
      <c r="J6" s="561">
        <f t="shared" si="2"/>
        <v>0</v>
      </c>
      <c r="K6" s="561">
        <f t="shared" si="2"/>
        <v>0</v>
      </c>
      <c r="L6" s="560">
        <f t="shared" si="2"/>
        <v>0</v>
      </c>
      <c r="M6" s="560">
        <f t="shared" si="2"/>
        <v>0</v>
      </c>
    </row>
    <row r="7" spans="1:13" ht="27.75" customHeight="1" x14ac:dyDescent="0.3">
      <c r="A7" s="670" t="s">
        <v>684</v>
      </c>
      <c r="B7" s="343" t="s">
        <v>685</v>
      </c>
      <c r="C7" s="226">
        <v>150</v>
      </c>
      <c r="D7" s="227">
        <v>0</v>
      </c>
      <c r="E7" s="226">
        <v>0</v>
      </c>
      <c r="F7" s="226">
        <v>0</v>
      </c>
      <c r="G7" s="277">
        <v>0</v>
      </c>
      <c r="H7" s="559">
        <f t="shared" ref="H7:H8" si="3">F7+G7-C7</f>
        <v>-150</v>
      </c>
      <c r="I7" s="226">
        <f>SUMIFS('Cashbook ING'!$B:$B, 'Cashbook ING'!$A:$A, "AIMClubs_MusicTaskForce_RoomRental")</f>
        <v>0</v>
      </c>
      <c r="J7" s="226">
        <v>0</v>
      </c>
      <c r="K7" s="226">
        <v>0</v>
      </c>
      <c r="L7" s="343">
        <f>IF(I7 &lt; G7, 0) + IF(-I7 &gt; G7, I7 - -G7) + IF(I7 = G7, 0)</f>
        <v>0</v>
      </c>
      <c r="M7" s="145">
        <f t="shared" ref="M7:M8" si="4">L7-H7</f>
        <v>150</v>
      </c>
    </row>
    <row r="8" spans="1:13" ht="27.75" customHeight="1" x14ac:dyDescent="0.3">
      <c r="A8" s="620"/>
      <c r="B8" s="145" t="s">
        <v>550</v>
      </c>
      <c r="C8" s="194">
        <v>0</v>
      </c>
      <c r="D8" s="143">
        <v>0</v>
      </c>
      <c r="E8" s="194">
        <v>0</v>
      </c>
      <c r="F8" s="194">
        <f>E8*D8</f>
        <v>0</v>
      </c>
      <c r="G8" s="194">
        <v>0</v>
      </c>
      <c r="H8" s="231">
        <f t="shared" si="3"/>
        <v>0</v>
      </c>
      <c r="I8" s="194">
        <v>0</v>
      </c>
      <c r="J8" s="194">
        <f>SUMIFS('Cashbook Wix'!$B$2:$B$7106,'Cashbook Wix'!$A$2:$A$7106,"AIMTeams")</f>
        <v>0</v>
      </c>
      <c r="K8" s="194">
        <v>0</v>
      </c>
      <c r="L8" s="145">
        <f>J8+K8+I8</f>
        <v>0</v>
      </c>
      <c r="M8" s="145">
        <f t="shared" si="4"/>
        <v>0</v>
      </c>
    </row>
    <row r="9" spans="1:13" ht="27.75" customHeight="1" x14ac:dyDescent="0.3">
      <c r="A9" s="621"/>
      <c r="B9" s="560" t="s">
        <v>511</v>
      </c>
      <c r="C9" s="561">
        <f t="shared" ref="C9:M9" si="5">SUM(C7:C8)</f>
        <v>150</v>
      </c>
      <c r="D9" s="562">
        <f t="shared" si="5"/>
        <v>0</v>
      </c>
      <c r="E9" s="561">
        <f t="shared" si="5"/>
        <v>0</v>
      </c>
      <c r="F9" s="561">
        <f t="shared" si="5"/>
        <v>0</v>
      </c>
      <c r="G9" s="561">
        <f t="shared" si="5"/>
        <v>0</v>
      </c>
      <c r="H9" s="560">
        <f t="shared" si="5"/>
        <v>-150</v>
      </c>
      <c r="I9" s="561">
        <f t="shared" si="5"/>
        <v>0</v>
      </c>
      <c r="J9" s="561">
        <f t="shared" si="5"/>
        <v>0</v>
      </c>
      <c r="K9" s="561">
        <f t="shared" si="5"/>
        <v>0</v>
      </c>
      <c r="L9" s="560">
        <f t="shared" si="5"/>
        <v>0</v>
      </c>
      <c r="M9" s="560">
        <f t="shared" si="5"/>
        <v>150</v>
      </c>
    </row>
    <row r="10" spans="1:13" ht="27.75" customHeight="1" x14ac:dyDescent="0.35">
      <c r="A10" s="476"/>
      <c r="B10" s="477" t="s">
        <v>450</v>
      </c>
      <c r="C10" s="217">
        <f t="shared" ref="C10:M10" si="6">SUM(C9+C6)</f>
        <v>390</v>
      </c>
      <c r="D10" s="217">
        <f t="shared" si="6"/>
        <v>0</v>
      </c>
      <c r="E10" s="217">
        <f t="shared" si="6"/>
        <v>0</v>
      </c>
      <c r="F10" s="217">
        <f t="shared" si="6"/>
        <v>0</v>
      </c>
      <c r="G10" s="217">
        <f t="shared" si="6"/>
        <v>240</v>
      </c>
      <c r="H10" s="217">
        <f t="shared" si="6"/>
        <v>-150</v>
      </c>
      <c r="I10" s="218">
        <f t="shared" si="6"/>
        <v>0</v>
      </c>
      <c r="J10" s="217">
        <f t="shared" si="6"/>
        <v>0</v>
      </c>
      <c r="K10" s="217">
        <f t="shared" si="6"/>
        <v>0</v>
      </c>
      <c r="L10" s="220">
        <f t="shared" si="6"/>
        <v>0</v>
      </c>
      <c r="M10" s="220">
        <f t="shared" si="6"/>
        <v>150</v>
      </c>
    </row>
    <row r="11" spans="1:13" ht="27.75" customHeight="1" x14ac:dyDescent="0.2"/>
    <row r="12" spans="1:13" ht="27.75" customHeight="1" x14ac:dyDescent="0.2"/>
    <row r="13" spans="1:13" ht="27.75" customHeight="1" x14ac:dyDescent="0.2"/>
    <row r="14" spans="1:13" ht="14.25" customHeight="1" x14ac:dyDescent="0.2"/>
    <row r="15" spans="1:13" ht="14.25" customHeight="1" x14ac:dyDescent="0.2"/>
    <row r="16" spans="1:13"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sheetData>
  <mergeCells count="6">
    <mergeCell ref="A7:A9"/>
    <mergeCell ref="A1:A2"/>
    <mergeCell ref="B1:B2"/>
    <mergeCell ref="C1:H1"/>
    <mergeCell ref="I1:M1"/>
    <mergeCell ref="A3:A6"/>
  </mergeCells>
  <conditionalFormatting sqref="A10:M10">
    <cfRule type="cellIs" dxfId="6" priority="2" operator="lessThan">
      <formula>0</formula>
    </cfRule>
  </conditionalFormatting>
  <conditionalFormatting sqref="B1:C1 I1:K1 A1:A2 L1:M9 H2:H9 B3:G9 I3:K9">
    <cfRule type="cellIs" dxfId="5" priority="1" operator="lessThan">
      <formula>0</formula>
    </cfRule>
  </conditionalFormatting>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DE4FF"/>
  </sheetPr>
  <dimension ref="A1:Z1000"/>
  <sheetViews>
    <sheetView zoomScale="47" workbookViewId="0">
      <pane xSplit="1" ySplit="2" topLeftCell="B3" activePane="bottomRight" state="frozen"/>
      <selection pane="topRight" activeCell="B1" sqref="B1"/>
      <selection pane="bottomLeft" activeCell="A3" sqref="A3"/>
      <selection pane="bottomRight" activeCell="I6" sqref="I6"/>
    </sheetView>
  </sheetViews>
  <sheetFormatPr baseColWidth="10" defaultColWidth="14.5" defaultRowHeight="15" customHeight="1" x14ac:dyDescent="0.2"/>
  <cols>
    <col min="1" max="1" width="27.83203125" customWidth="1"/>
    <col min="2" max="2" width="42.5" customWidth="1"/>
    <col min="3" max="3" width="22.5" customWidth="1"/>
    <col min="4" max="4" width="17.83203125" customWidth="1"/>
    <col min="5" max="5" width="25.83203125" customWidth="1"/>
    <col min="6" max="6" width="34.5" customWidth="1"/>
    <col min="7" max="13" width="25.83203125" customWidth="1"/>
    <col min="14" max="26" width="10.83203125" customWidth="1"/>
  </cols>
  <sheetData>
    <row r="1" spans="1:26" ht="26.25" customHeight="1" x14ac:dyDescent="0.3">
      <c r="A1" s="606" t="s">
        <v>378</v>
      </c>
      <c r="B1" s="608" t="s">
        <v>330</v>
      </c>
      <c r="C1" s="609" t="s">
        <v>379</v>
      </c>
      <c r="D1" s="610"/>
      <c r="E1" s="610"/>
      <c r="F1" s="610"/>
      <c r="G1" s="610"/>
      <c r="H1" s="611"/>
      <c r="I1" s="612" t="s">
        <v>503</v>
      </c>
      <c r="J1" s="610"/>
      <c r="K1" s="610"/>
      <c r="L1" s="610"/>
      <c r="M1" s="611"/>
      <c r="N1" s="28"/>
      <c r="O1" s="28"/>
      <c r="P1" s="28"/>
      <c r="Q1" s="28"/>
      <c r="R1" s="28"/>
      <c r="S1" s="28"/>
      <c r="T1" s="28"/>
      <c r="U1" s="28"/>
      <c r="V1" s="28"/>
      <c r="W1" s="28"/>
      <c r="X1" s="28"/>
      <c r="Y1" s="28"/>
      <c r="Z1" s="28"/>
    </row>
    <row r="2" spans="1:26" ht="26.25" customHeight="1" x14ac:dyDescent="0.3">
      <c r="A2" s="607"/>
      <c r="B2" s="623"/>
      <c r="C2" s="129" t="s">
        <v>381</v>
      </c>
      <c r="D2" s="130" t="s">
        <v>382</v>
      </c>
      <c r="E2" s="131" t="s">
        <v>383</v>
      </c>
      <c r="F2" s="132" t="s">
        <v>384</v>
      </c>
      <c r="G2" s="133" t="s">
        <v>456</v>
      </c>
      <c r="H2" s="134" t="s">
        <v>386</v>
      </c>
      <c r="I2" s="135" t="s">
        <v>381</v>
      </c>
      <c r="J2" s="136" t="s">
        <v>384</v>
      </c>
      <c r="K2" s="137" t="s">
        <v>456</v>
      </c>
      <c r="L2" s="138" t="s">
        <v>386</v>
      </c>
      <c r="M2" s="139" t="s">
        <v>457</v>
      </c>
      <c r="N2" s="28"/>
      <c r="O2" s="28"/>
      <c r="P2" s="28"/>
      <c r="Q2" s="28"/>
      <c r="R2" s="28"/>
      <c r="S2" s="28"/>
      <c r="T2" s="28"/>
      <c r="U2" s="28"/>
      <c r="V2" s="28"/>
      <c r="W2" s="28"/>
      <c r="X2" s="28"/>
      <c r="Y2" s="28"/>
      <c r="Z2" s="28"/>
    </row>
    <row r="3" spans="1:26" ht="26.25" customHeight="1" x14ac:dyDescent="0.3">
      <c r="A3" s="670" t="s">
        <v>686</v>
      </c>
      <c r="B3" s="285" t="s">
        <v>687</v>
      </c>
      <c r="C3" s="277">
        <v>50</v>
      </c>
      <c r="D3" s="342">
        <v>0</v>
      </c>
      <c r="E3" s="277">
        <v>0</v>
      </c>
      <c r="F3" s="277">
        <v>0</v>
      </c>
      <c r="G3" s="277">
        <v>50</v>
      </c>
      <c r="H3" s="559">
        <f t="shared" ref="H3:H4" si="0">F3+G3-C3</f>
        <v>0</v>
      </c>
      <c r="I3" s="226">
        <f>SUMIFS('Cashbook ING'!$B:$B, 'Cashbook ING'!$A:$A, "AIMTeam_Football_Expenses")</f>
        <v>0</v>
      </c>
      <c r="J3" s="226">
        <v>0</v>
      </c>
      <c r="K3" s="226">
        <v>0</v>
      </c>
      <c r="L3" s="343">
        <f t="shared" ref="L3:L4" si="1">J3+K3+I3</f>
        <v>0</v>
      </c>
      <c r="M3" s="343">
        <f t="shared" ref="M3:M4" si="2">L3-H3</f>
        <v>0</v>
      </c>
      <c r="N3" s="28"/>
      <c r="O3" s="28"/>
      <c r="P3" s="28"/>
      <c r="Q3" s="28"/>
      <c r="R3" s="28"/>
      <c r="S3" s="28"/>
      <c r="T3" s="28"/>
      <c r="U3" s="28"/>
      <c r="V3" s="28"/>
      <c r="W3" s="28"/>
      <c r="X3" s="28"/>
      <c r="Y3" s="28"/>
      <c r="Z3" s="28"/>
    </row>
    <row r="4" spans="1:26" ht="26.25" customHeight="1" x14ac:dyDescent="0.3">
      <c r="A4" s="620"/>
      <c r="B4" s="245" t="s">
        <v>688</v>
      </c>
      <c r="C4" s="193">
        <v>0</v>
      </c>
      <c r="D4" s="160">
        <v>0</v>
      </c>
      <c r="E4" s="193">
        <v>0</v>
      </c>
      <c r="F4" s="193">
        <f>E4*D4</f>
        <v>0</v>
      </c>
      <c r="G4" s="193">
        <v>0</v>
      </c>
      <c r="H4" s="245">
        <f t="shared" si="0"/>
        <v>0</v>
      </c>
      <c r="I4" s="194">
        <v>0</v>
      </c>
      <c r="J4" s="194">
        <f>SUMIFS('Cashbook Wix'!$B$2:$B$7106,'Cashbook Wix'!$A$2:$A$7106,"AIMTeam_Football_Ticket")</f>
        <v>0</v>
      </c>
      <c r="K4" s="194">
        <v>0</v>
      </c>
      <c r="L4" s="145">
        <f t="shared" si="1"/>
        <v>0</v>
      </c>
      <c r="M4" s="145">
        <f t="shared" si="2"/>
        <v>0</v>
      </c>
      <c r="N4" s="28"/>
      <c r="O4" s="28"/>
      <c r="P4" s="28"/>
      <c r="Q4" s="28"/>
      <c r="R4" s="28"/>
      <c r="S4" s="28"/>
      <c r="T4" s="28"/>
      <c r="U4" s="28"/>
      <c r="V4" s="28"/>
      <c r="W4" s="28"/>
      <c r="X4" s="28"/>
      <c r="Y4" s="28"/>
      <c r="Z4" s="28"/>
    </row>
    <row r="5" spans="1:26" ht="26.25" customHeight="1" x14ac:dyDescent="0.3">
      <c r="A5" s="621"/>
      <c r="B5" s="232" t="s">
        <v>511</v>
      </c>
      <c r="C5" s="235">
        <f>SUM(C3)</f>
        <v>50</v>
      </c>
      <c r="D5" s="234">
        <f t="shared" ref="D5:H5" si="3">SUM(D3:D4)</f>
        <v>0</v>
      </c>
      <c r="E5" s="235">
        <f t="shared" si="3"/>
        <v>0</v>
      </c>
      <c r="F5" s="235">
        <f t="shared" si="3"/>
        <v>0</v>
      </c>
      <c r="G5" s="235">
        <f t="shared" si="3"/>
        <v>50</v>
      </c>
      <c r="H5" s="232">
        <f t="shared" si="3"/>
        <v>0</v>
      </c>
      <c r="I5" s="235">
        <f t="shared" ref="I5:L5" si="4">SUM(I3)</f>
        <v>0</v>
      </c>
      <c r="J5" s="235">
        <f t="shared" si="4"/>
        <v>0</v>
      </c>
      <c r="K5" s="235">
        <f t="shared" si="4"/>
        <v>0</v>
      </c>
      <c r="L5" s="232">
        <f t="shared" si="4"/>
        <v>0</v>
      </c>
      <c r="M5" s="232">
        <f>SUM(M3:M4)</f>
        <v>0</v>
      </c>
      <c r="N5" s="28"/>
      <c r="O5" s="28"/>
      <c r="P5" s="28"/>
      <c r="Q5" s="28"/>
      <c r="R5" s="28"/>
      <c r="S5" s="28"/>
      <c r="T5" s="28"/>
      <c r="U5" s="28"/>
      <c r="V5" s="28"/>
      <c r="W5" s="28"/>
      <c r="X5" s="28"/>
      <c r="Y5" s="28"/>
      <c r="Z5" s="28"/>
    </row>
    <row r="6" spans="1:26" ht="26.25" customHeight="1" x14ac:dyDescent="0.3">
      <c r="A6" s="704" t="s">
        <v>689</v>
      </c>
      <c r="B6" s="285" t="s">
        <v>687</v>
      </c>
      <c r="C6" s="277">
        <v>950</v>
      </c>
      <c r="D6" s="342">
        <v>0</v>
      </c>
      <c r="E6" s="277">
        <v>0</v>
      </c>
      <c r="F6" s="277">
        <v>0</v>
      </c>
      <c r="G6" s="277">
        <v>900</v>
      </c>
      <c r="H6" s="563">
        <f t="shared" ref="H6:H7" si="5">F6+G6-C6</f>
        <v>-50</v>
      </c>
      <c r="I6" s="290">
        <f>SUMIFS('Cashbook ING'!$B:$B, 'Cashbook ING'!$A:$A, "AIMTeam_Volleyball_Expenses")</f>
        <v>-524</v>
      </c>
      <c r="J6" s="226">
        <v>0</v>
      </c>
      <c r="K6" s="226">
        <v>0</v>
      </c>
      <c r="L6" s="343">
        <f>K6+J6+I6</f>
        <v>-524</v>
      </c>
      <c r="M6" s="343">
        <f t="shared" ref="M6:M7" si="6">L6-H6</f>
        <v>-474</v>
      </c>
      <c r="N6" s="564"/>
      <c r="O6" s="564"/>
      <c r="P6" s="564"/>
      <c r="Q6" s="564"/>
      <c r="R6" s="564"/>
      <c r="S6" s="564"/>
      <c r="T6" s="564"/>
      <c r="U6" s="564"/>
      <c r="V6" s="564"/>
      <c r="W6" s="564"/>
      <c r="X6" s="564"/>
      <c r="Y6" s="564"/>
      <c r="Z6" s="564"/>
    </row>
    <row r="7" spans="1:26" ht="26.25" customHeight="1" x14ac:dyDescent="0.3">
      <c r="A7" s="617"/>
      <c r="B7" s="245" t="s">
        <v>657</v>
      </c>
      <c r="C7" s="193">
        <v>0</v>
      </c>
      <c r="D7" s="160">
        <v>0</v>
      </c>
      <c r="E7" s="193">
        <v>0</v>
      </c>
      <c r="F7" s="193">
        <f>E7*D7</f>
        <v>0</v>
      </c>
      <c r="G7" s="193">
        <v>0</v>
      </c>
      <c r="H7" s="245">
        <f t="shared" si="5"/>
        <v>0</v>
      </c>
      <c r="I7" s="194">
        <v>0</v>
      </c>
      <c r="J7" s="194">
        <f>SUMIFS('Cashbook Wix'!$B$2:$B$7106,'Cashbook Wix'!$A$2:$A$7106,"AIMTeam_Volleyball_Ticket")</f>
        <v>0</v>
      </c>
      <c r="K7" s="194">
        <v>0</v>
      </c>
      <c r="L7" s="145">
        <f>J7+K7+I7</f>
        <v>0</v>
      </c>
      <c r="M7" s="145">
        <f t="shared" si="6"/>
        <v>0</v>
      </c>
      <c r="N7" s="28"/>
      <c r="O7" s="28"/>
      <c r="P7" s="28"/>
      <c r="Q7" s="28"/>
      <c r="R7" s="28"/>
      <c r="S7" s="28"/>
      <c r="T7" s="28"/>
      <c r="U7" s="28"/>
      <c r="V7" s="28"/>
      <c r="W7" s="28"/>
      <c r="X7" s="28"/>
      <c r="Y7" s="28"/>
      <c r="Z7" s="28"/>
    </row>
    <row r="8" spans="1:26" ht="26.25" customHeight="1" x14ac:dyDescent="0.3">
      <c r="A8" s="705"/>
      <c r="B8" s="351" t="s">
        <v>620</v>
      </c>
      <c r="C8" s="349">
        <f>SUM(C6:C7)</f>
        <v>950</v>
      </c>
      <c r="D8" s="350">
        <f>SUM(D7)</f>
        <v>0</v>
      </c>
      <c r="E8" s="349">
        <f>SUM(E6:E7)</f>
        <v>0</v>
      </c>
      <c r="F8" s="349">
        <f>SUM(F7)</f>
        <v>0</v>
      </c>
      <c r="G8" s="349">
        <f t="shared" ref="G8:M8" si="7">SUM(G6:G7)</f>
        <v>900</v>
      </c>
      <c r="H8" s="351">
        <f t="shared" si="7"/>
        <v>-50</v>
      </c>
      <c r="I8" s="349">
        <f t="shared" si="7"/>
        <v>-524</v>
      </c>
      <c r="J8" s="349">
        <f t="shared" si="7"/>
        <v>0</v>
      </c>
      <c r="K8" s="349">
        <f t="shared" si="7"/>
        <v>0</v>
      </c>
      <c r="L8" s="351">
        <f t="shared" si="7"/>
        <v>-524</v>
      </c>
      <c r="M8" s="565">
        <f t="shared" si="7"/>
        <v>-474</v>
      </c>
      <c r="N8" s="28"/>
      <c r="O8" s="28"/>
      <c r="P8" s="28"/>
      <c r="Q8" s="28"/>
      <c r="R8" s="28"/>
      <c r="S8" s="28"/>
      <c r="T8" s="28"/>
      <c r="U8" s="28"/>
      <c r="V8" s="28"/>
      <c r="W8" s="28"/>
      <c r="X8" s="28"/>
      <c r="Y8" s="28"/>
      <c r="Z8" s="28"/>
    </row>
    <row r="9" spans="1:26" ht="26.25" customHeight="1" x14ac:dyDescent="0.35">
      <c r="A9" s="413"/>
      <c r="B9" s="216" t="s">
        <v>690</v>
      </c>
      <c r="C9" s="217">
        <f t="shared" ref="C9:D9" si="8">SUM(C5,C8)</f>
        <v>1000</v>
      </c>
      <c r="D9" s="566">
        <f t="shared" si="8"/>
        <v>0</v>
      </c>
      <c r="E9" s="217">
        <v>0</v>
      </c>
      <c r="F9" s="217">
        <f t="shared" ref="F9:M9" si="9">SUM(F5,F8)</f>
        <v>0</v>
      </c>
      <c r="G9" s="217">
        <f t="shared" si="9"/>
        <v>950</v>
      </c>
      <c r="H9" s="220">
        <f t="shared" si="9"/>
        <v>-50</v>
      </c>
      <c r="I9" s="217">
        <f t="shared" si="9"/>
        <v>-524</v>
      </c>
      <c r="J9" s="217">
        <f t="shared" si="9"/>
        <v>0</v>
      </c>
      <c r="K9" s="217">
        <f t="shared" si="9"/>
        <v>0</v>
      </c>
      <c r="L9" s="220">
        <f t="shared" si="9"/>
        <v>-524</v>
      </c>
      <c r="M9" s="220">
        <f t="shared" si="9"/>
        <v>-474</v>
      </c>
      <c r="N9" s="165"/>
      <c r="O9" s="165"/>
      <c r="P9" s="165"/>
      <c r="Q9" s="165"/>
      <c r="R9" s="165"/>
      <c r="S9" s="165"/>
      <c r="T9" s="165"/>
      <c r="U9" s="165"/>
      <c r="V9" s="165"/>
      <c r="W9" s="165"/>
      <c r="X9" s="165"/>
      <c r="Y9" s="165"/>
      <c r="Z9" s="165"/>
    </row>
    <row r="10" spans="1:26" ht="26.25" customHeight="1" x14ac:dyDescent="0.3">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row>
    <row r="11" spans="1:26" ht="26.25" customHeight="1" x14ac:dyDescent="0.3">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row>
    <row r="12" spans="1:26" ht="26.25" customHeight="1" x14ac:dyDescent="0.3">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row>
    <row r="13" spans="1:26" ht="26.25" customHeight="1" x14ac:dyDescent="0.3">
      <c r="A13" s="28"/>
      <c r="B13" s="416"/>
      <c r="C13" s="28"/>
      <c r="D13" s="28"/>
      <c r="E13" s="28"/>
      <c r="F13" s="28"/>
      <c r="G13" s="28"/>
      <c r="H13" s="28"/>
      <c r="I13" s="28"/>
      <c r="J13" s="28"/>
      <c r="K13" s="28"/>
      <c r="L13" s="28"/>
      <c r="M13" s="28"/>
      <c r="N13" s="28"/>
      <c r="O13" s="28"/>
      <c r="P13" s="28"/>
      <c r="Q13" s="28"/>
      <c r="R13" s="28"/>
      <c r="S13" s="28"/>
      <c r="T13" s="28"/>
      <c r="U13" s="28"/>
      <c r="V13" s="28"/>
      <c r="W13" s="28"/>
      <c r="X13" s="28"/>
      <c r="Y13" s="28"/>
      <c r="Z13" s="28"/>
    </row>
    <row r="14" spans="1:26" ht="26.25" customHeight="1" x14ac:dyDescent="0.3">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row>
    <row r="15" spans="1:26" ht="26.25" customHeight="1" x14ac:dyDescent="0.3">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row>
    <row r="16" spans="1:26" ht="26.25" customHeight="1" x14ac:dyDescent="0.3">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row>
    <row r="17" spans="1:26" ht="26.25" customHeight="1" x14ac:dyDescent="0.3">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ht="26.25" customHeight="1" x14ac:dyDescent="0.3">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ht="26.25" customHeight="1" x14ac:dyDescent="0.3">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ht="26.25" customHeight="1" x14ac:dyDescent="0.3">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26.25" customHeight="1" x14ac:dyDescent="0.3">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26.25" customHeight="1" x14ac:dyDescent="0.3">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26.25" customHeight="1" x14ac:dyDescent="0.3">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26.25" customHeight="1" x14ac:dyDescent="0.3">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26.25" customHeight="1" x14ac:dyDescent="0.3">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26.25" customHeight="1" x14ac:dyDescent="0.3">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26.25" customHeight="1" x14ac:dyDescent="0.3">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26.25" customHeight="1" x14ac:dyDescent="0.3">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26.25" customHeight="1" x14ac:dyDescent="0.3">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26.25" customHeight="1" x14ac:dyDescent="0.3">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26.25" customHeight="1" x14ac:dyDescent="0.3">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26.25" customHeight="1" x14ac:dyDescent="0.3">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26.25" customHeight="1" x14ac:dyDescent="0.3">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26.25" customHeight="1" x14ac:dyDescent="0.3">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26.25" customHeight="1" x14ac:dyDescent="0.3">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26.25" customHeight="1" x14ac:dyDescent="0.3">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26.25" customHeight="1" x14ac:dyDescent="0.3">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26.25" customHeight="1" x14ac:dyDescent="0.3">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26.25" customHeight="1" x14ac:dyDescent="0.3">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26.25" customHeight="1" x14ac:dyDescent="0.3">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26.25" customHeight="1" x14ac:dyDescent="0.3">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26.25" customHeight="1" x14ac:dyDescent="0.3">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26.25" customHeight="1"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26.25" customHeight="1"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26.25" customHeight="1"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26.25" customHeight="1"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26.25" customHeight="1"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26.25" customHeight="1"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26.25" customHeight="1" x14ac:dyDescent="0.3">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26.25" customHeight="1" x14ac:dyDescent="0.3">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26.25" customHeight="1" x14ac:dyDescent="0.3">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26.25" customHeight="1" x14ac:dyDescent="0.3">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26.25" customHeight="1" x14ac:dyDescent="0.3">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26.25" customHeight="1" x14ac:dyDescent="0.3">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26.25" customHeight="1" x14ac:dyDescent="0.3">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26.25" customHeight="1" x14ac:dyDescent="0.3">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26.25" customHeight="1" x14ac:dyDescent="0.3">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26.25" customHeight="1" x14ac:dyDescent="0.3">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26.25" customHeight="1" x14ac:dyDescent="0.3">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26.25" customHeight="1" x14ac:dyDescent="0.3">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26.25" customHeight="1" x14ac:dyDescent="0.3">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26.25" customHeight="1" x14ac:dyDescent="0.3">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26.25" customHeight="1" x14ac:dyDescent="0.3">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26.25" customHeight="1" x14ac:dyDescent="0.3">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26.25" customHeight="1" x14ac:dyDescent="0.3">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26.25" customHeight="1" x14ac:dyDescent="0.3">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26.25" customHeight="1" x14ac:dyDescent="0.3">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26.25" customHeight="1" x14ac:dyDescent="0.3">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26.25" customHeight="1" x14ac:dyDescent="0.3">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26.25" customHeight="1" x14ac:dyDescent="0.3">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26.25" customHeight="1" x14ac:dyDescent="0.3">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26.25" customHeight="1" x14ac:dyDescent="0.3">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26.25" customHeight="1" x14ac:dyDescent="0.3">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26.25" customHeight="1" x14ac:dyDescent="0.3">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26.25" customHeight="1" x14ac:dyDescent="0.3">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26.25" customHeight="1" x14ac:dyDescent="0.3">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26.25" customHeight="1" x14ac:dyDescent="0.3">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26.25" customHeight="1" x14ac:dyDescent="0.3">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26.25" customHeight="1" x14ac:dyDescent="0.3">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26.25" customHeight="1" x14ac:dyDescent="0.3">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26.25" customHeight="1" x14ac:dyDescent="0.3">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26.25" customHeight="1" x14ac:dyDescent="0.3">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26.25" customHeight="1" x14ac:dyDescent="0.3">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26.25" customHeight="1" x14ac:dyDescent="0.3">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26.25" customHeight="1" x14ac:dyDescent="0.3">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26.25" customHeight="1" x14ac:dyDescent="0.3">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26.25" customHeight="1" x14ac:dyDescent="0.3">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26.25" customHeight="1" x14ac:dyDescent="0.3">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26.25" customHeight="1" x14ac:dyDescent="0.3">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26.25" customHeight="1" x14ac:dyDescent="0.3">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26.25" customHeight="1" x14ac:dyDescent="0.3">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26.25" customHeight="1" x14ac:dyDescent="0.3">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26.25" customHeight="1" x14ac:dyDescent="0.3">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26.25" customHeight="1" x14ac:dyDescent="0.3">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26.25" customHeight="1" x14ac:dyDescent="0.3">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26.25" customHeight="1" x14ac:dyDescent="0.3">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26.25" customHeight="1" x14ac:dyDescent="0.3">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26.25" customHeight="1" x14ac:dyDescent="0.3">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26.25" customHeight="1" x14ac:dyDescent="0.3">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26.25" customHeight="1" x14ac:dyDescent="0.3">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26.25" customHeight="1" x14ac:dyDescent="0.3">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26.25" customHeight="1" x14ac:dyDescent="0.3">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26.25" customHeight="1" x14ac:dyDescent="0.3">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26.25" customHeight="1" x14ac:dyDescent="0.3">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26.25" customHeight="1" x14ac:dyDescent="0.3">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26.25" customHeight="1" x14ac:dyDescent="0.3">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26.25" customHeight="1" x14ac:dyDescent="0.3">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26.25" customHeight="1" x14ac:dyDescent="0.3">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26.25" customHeight="1" x14ac:dyDescent="0.3">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26.25" customHeight="1" x14ac:dyDescent="0.3">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26.25" customHeight="1" x14ac:dyDescent="0.3">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26.25" customHeight="1" x14ac:dyDescent="0.3">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26.25" customHeight="1" x14ac:dyDescent="0.3">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26.25" customHeight="1" x14ac:dyDescent="0.3">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26.25" customHeight="1" x14ac:dyDescent="0.3">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26.25" customHeight="1" x14ac:dyDescent="0.3">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26.25" customHeight="1" x14ac:dyDescent="0.3">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26.25" customHeight="1" x14ac:dyDescent="0.3">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26.25" customHeight="1" x14ac:dyDescent="0.3">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26.25" customHeight="1" x14ac:dyDescent="0.3">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26.25" customHeight="1" x14ac:dyDescent="0.3">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26.25" customHeight="1" x14ac:dyDescent="0.3">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26.25" customHeight="1" x14ac:dyDescent="0.3">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26.25" customHeight="1" x14ac:dyDescent="0.3">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26.25" customHeight="1" x14ac:dyDescent="0.3">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26.25" customHeight="1" x14ac:dyDescent="0.3">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26.25" customHeight="1" x14ac:dyDescent="0.3">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26.25" customHeight="1" x14ac:dyDescent="0.3">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26.25" customHeight="1" x14ac:dyDescent="0.3">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26.25" customHeight="1" x14ac:dyDescent="0.3">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26.25" customHeight="1" x14ac:dyDescent="0.3">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26.25" customHeight="1" x14ac:dyDescent="0.3">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26.25" customHeight="1" x14ac:dyDescent="0.3">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26.25" customHeight="1" x14ac:dyDescent="0.3">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26.25" customHeight="1" x14ac:dyDescent="0.3">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26.25" customHeight="1" x14ac:dyDescent="0.3">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26.25" customHeight="1" x14ac:dyDescent="0.3">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26.25" customHeight="1" x14ac:dyDescent="0.3">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26.25" customHeight="1" x14ac:dyDescent="0.3">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26.25" customHeight="1" x14ac:dyDescent="0.3">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26.25" customHeight="1" x14ac:dyDescent="0.3">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26.25" customHeight="1" x14ac:dyDescent="0.3">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26.25" customHeight="1" x14ac:dyDescent="0.3">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26.25" customHeight="1" x14ac:dyDescent="0.3">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26.25" customHeight="1" x14ac:dyDescent="0.3">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26.25" customHeight="1" x14ac:dyDescent="0.3">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26.25" customHeight="1" x14ac:dyDescent="0.3">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26.25" customHeight="1" x14ac:dyDescent="0.3">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26.25" customHeight="1" x14ac:dyDescent="0.3">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26.25" customHeight="1" x14ac:dyDescent="0.3">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26.25" customHeight="1" x14ac:dyDescent="0.3">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26.25" customHeight="1" x14ac:dyDescent="0.3">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26.25" customHeight="1" x14ac:dyDescent="0.3">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26.25" customHeight="1" x14ac:dyDescent="0.3">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26.25" customHeight="1" x14ac:dyDescent="0.3">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26.25" customHeight="1" x14ac:dyDescent="0.3">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26.25" customHeight="1" x14ac:dyDescent="0.3">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26.25" customHeight="1" x14ac:dyDescent="0.3">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26.25" customHeight="1" x14ac:dyDescent="0.3">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26.25" customHeight="1" x14ac:dyDescent="0.3">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26.25" customHeight="1" x14ac:dyDescent="0.3">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26.25" customHeight="1" x14ac:dyDescent="0.3">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26.25" customHeight="1" x14ac:dyDescent="0.3">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26.25" customHeight="1" x14ac:dyDescent="0.3">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26.25" customHeight="1" x14ac:dyDescent="0.3">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26.25" customHeight="1" x14ac:dyDescent="0.3">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26.25" customHeight="1" x14ac:dyDescent="0.3">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26.25" customHeight="1" x14ac:dyDescent="0.3">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26.25" customHeight="1" x14ac:dyDescent="0.3">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26.25" customHeight="1" x14ac:dyDescent="0.3">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26.25" customHeight="1" x14ac:dyDescent="0.3">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26.25" customHeight="1" x14ac:dyDescent="0.3">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26.25" customHeight="1" x14ac:dyDescent="0.3">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26.25" customHeight="1" x14ac:dyDescent="0.3">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26.25" customHeight="1" x14ac:dyDescent="0.3">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26.25" customHeight="1" x14ac:dyDescent="0.3">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26.25" customHeight="1" x14ac:dyDescent="0.3">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26.25" customHeight="1" x14ac:dyDescent="0.3">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26.25" customHeight="1" x14ac:dyDescent="0.3">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26.25" customHeight="1" x14ac:dyDescent="0.3">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26.25" customHeight="1" x14ac:dyDescent="0.3">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26.25" customHeight="1" x14ac:dyDescent="0.3">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26.25" customHeight="1" x14ac:dyDescent="0.3">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26.25" customHeight="1" x14ac:dyDescent="0.3">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26.25" customHeight="1" x14ac:dyDescent="0.3">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26.25" customHeight="1" x14ac:dyDescent="0.3">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26.25" customHeight="1" x14ac:dyDescent="0.3">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26.25" customHeight="1" x14ac:dyDescent="0.3">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26.25" customHeight="1" x14ac:dyDescent="0.3">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26.25" customHeight="1" x14ac:dyDescent="0.3">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26.25" customHeight="1" x14ac:dyDescent="0.3">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26.25" customHeight="1" x14ac:dyDescent="0.3">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26.25" customHeight="1" x14ac:dyDescent="0.3">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26.25" customHeight="1" x14ac:dyDescent="0.3">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26.25" customHeight="1" x14ac:dyDescent="0.3">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26.25" customHeight="1" x14ac:dyDescent="0.3">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26.25" customHeight="1" x14ac:dyDescent="0.3">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26.25" customHeight="1" x14ac:dyDescent="0.3">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26.25" customHeight="1" x14ac:dyDescent="0.3">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26.25" customHeight="1" x14ac:dyDescent="0.3">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26.25" customHeight="1" x14ac:dyDescent="0.3">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26.25" customHeight="1" x14ac:dyDescent="0.3">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26.25" customHeight="1" x14ac:dyDescent="0.3">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26.25" customHeight="1" x14ac:dyDescent="0.3">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26.25" customHeight="1" x14ac:dyDescent="0.3">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26.25" customHeight="1" x14ac:dyDescent="0.3">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26.25" customHeight="1" x14ac:dyDescent="0.3">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26.25" customHeight="1" x14ac:dyDescent="0.3">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26.25" customHeight="1" x14ac:dyDescent="0.3">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26.25" customHeight="1" x14ac:dyDescent="0.3">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26.25" customHeight="1" x14ac:dyDescent="0.3">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26.25" customHeight="1" x14ac:dyDescent="0.3">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26.25" customHeight="1" x14ac:dyDescent="0.3">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26.25" customHeight="1" x14ac:dyDescent="0.3">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26.25" customHeight="1" x14ac:dyDescent="0.3">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26.25" customHeight="1" x14ac:dyDescent="0.3">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26.25" customHeight="1" x14ac:dyDescent="0.3">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26.25" customHeight="1" x14ac:dyDescent="0.3">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26.25" customHeight="1" x14ac:dyDescent="0.3">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26.25" customHeight="1" x14ac:dyDescent="0.3">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26.25" customHeight="1" x14ac:dyDescent="0.3">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26.25" customHeight="1" x14ac:dyDescent="0.3">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26.25" customHeight="1" x14ac:dyDescent="0.3">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26.25" customHeight="1" x14ac:dyDescent="0.3">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26.25" customHeight="1" x14ac:dyDescent="0.3">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26.25" customHeight="1" x14ac:dyDescent="0.3">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26.25" customHeight="1" x14ac:dyDescent="0.3">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26.25" customHeight="1" x14ac:dyDescent="0.3">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26.25" customHeight="1" x14ac:dyDescent="0.3">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26.25" customHeight="1" x14ac:dyDescent="0.3">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26.25" customHeight="1" x14ac:dyDescent="0.3">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26.25" customHeight="1" x14ac:dyDescent="0.3">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26.25" customHeight="1" x14ac:dyDescent="0.3">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26.25" customHeight="1" x14ac:dyDescent="0.3">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26.25" customHeight="1" x14ac:dyDescent="0.3">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26.25" customHeight="1" x14ac:dyDescent="0.3">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26.25" customHeight="1" x14ac:dyDescent="0.3">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26.25" customHeight="1" x14ac:dyDescent="0.3">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26.25" customHeight="1" x14ac:dyDescent="0.3">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26.25" customHeight="1" x14ac:dyDescent="0.3">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26.25" customHeight="1" x14ac:dyDescent="0.3">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26.25" customHeight="1" x14ac:dyDescent="0.3">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26.25" customHeight="1" x14ac:dyDescent="0.3">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26.25" customHeight="1" x14ac:dyDescent="0.3">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26.25" customHeight="1" x14ac:dyDescent="0.3">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26.25" customHeight="1" x14ac:dyDescent="0.3">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26.25" customHeight="1" x14ac:dyDescent="0.3">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26.25" customHeight="1" x14ac:dyDescent="0.3">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26.25" customHeight="1" x14ac:dyDescent="0.3">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26.25" customHeight="1" x14ac:dyDescent="0.3">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26.25" customHeight="1" x14ac:dyDescent="0.3">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26.25" customHeight="1" x14ac:dyDescent="0.3">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26.25" customHeight="1" x14ac:dyDescent="0.3">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26.25" customHeight="1" x14ac:dyDescent="0.3">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26.25" customHeight="1" x14ac:dyDescent="0.3">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26.25" customHeight="1" x14ac:dyDescent="0.3">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26.25" customHeight="1" x14ac:dyDescent="0.3">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26.25" customHeight="1" x14ac:dyDescent="0.3">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26.25" customHeight="1" x14ac:dyDescent="0.3">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26.25" customHeight="1" x14ac:dyDescent="0.3">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26.25" customHeight="1" x14ac:dyDescent="0.3">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26.25" customHeight="1" x14ac:dyDescent="0.3">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26.25" customHeight="1" x14ac:dyDescent="0.3">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26.25" customHeight="1" x14ac:dyDescent="0.3">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26.25" customHeight="1" x14ac:dyDescent="0.3">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26.25" customHeight="1" x14ac:dyDescent="0.3">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26.25" customHeight="1" x14ac:dyDescent="0.3">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26.25" customHeight="1" x14ac:dyDescent="0.3">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26.25" customHeight="1" x14ac:dyDescent="0.3">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26.25" customHeight="1" x14ac:dyDescent="0.3">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26.25" customHeight="1" x14ac:dyDescent="0.3">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26.25" customHeight="1" x14ac:dyDescent="0.3">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26.25" customHeight="1" x14ac:dyDescent="0.3">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26.25" customHeight="1" x14ac:dyDescent="0.3">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26.25" customHeight="1" x14ac:dyDescent="0.3">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26.25" customHeight="1" x14ac:dyDescent="0.3">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26.25" customHeight="1" x14ac:dyDescent="0.3">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26.25" customHeight="1" x14ac:dyDescent="0.3">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26.25" customHeight="1" x14ac:dyDescent="0.3">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26.25" customHeight="1" x14ac:dyDescent="0.3">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26.25" customHeight="1" x14ac:dyDescent="0.3">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26.25" customHeight="1" x14ac:dyDescent="0.3">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26.25" customHeight="1" x14ac:dyDescent="0.3">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26.25" customHeight="1" x14ac:dyDescent="0.3">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26.25" customHeight="1" x14ac:dyDescent="0.3">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26.25" customHeight="1" x14ac:dyDescent="0.3">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26.25" customHeight="1" x14ac:dyDescent="0.3">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26.25" customHeight="1" x14ac:dyDescent="0.3">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26.25" customHeight="1" x14ac:dyDescent="0.3">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26.25" customHeight="1" x14ac:dyDescent="0.3">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26.25" customHeight="1" x14ac:dyDescent="0.3">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26.25" customHeight="1" x14ac:dyDescent="0.3">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26.25" customHeight="1" x14ac:dyDescent="0.3">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26.25" customHeight="1" x14ac:dyDescent="0.3">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26.25" customHeight="1" x14ac:dyDescent="0.3">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26.25" customHeight="1" x14ac:dyDescent="0.3">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26.25" customHeight="1" x14ac:dyDescent="0.3">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26.25" customHeight="1" x14ac:dyDescent="0.3">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26.25" customHeight="1" x14ac:dyDescent="0.3">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26.25" customHeight="1" x14ac:dyDescent="0.3">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26.25" customHeight="1" x14ac:dyDescent="0.3">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26.25" customHeight="1" x14ac:dyDescent="0.3">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26.25" customHeight="1" x14ac:dyDescent="0.3">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26.25" customHeight="1" x14ac:dyDescent="0.3">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26.25" customHeight="1" x14ac:dyDescent="0.3">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26.25" customHeight="1" x14ac:dyDescent="0.3">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26.25" customHeight="1" x14ac:dyDescent="0.3">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26.25" customHeight="1" x14ac:dyDescent="0.3">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26.25" customHeight="1" x14ac:dyDescent="0.3">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26.25" customHeight="1" x14ac:dyDescent="0.3">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26.25" customHeight="1" x14ac:dyDescent="0.3">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26.25" customHeight="1" x14ac:dyDescent="0.3">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26.25" customHeight="1" x14ac:dyDescent="0.3">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26.25" customHeight="1" x14ac:dyDescent="0.3">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26.25" customHeight="1" x14ac:dyDescent="0.3">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26.25" customHeight="1" x14ac:dyDescent="0.3">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26.25" customHeight="1" x14ac:dyDescent="0.3">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26.25" customHeight="1" x14ac:dyDescent="0.3">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26.25" customHeight="1" x14ac:dyDescent="0.3">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26.25" customHeight="1" x14ac:dyDescent="0.3">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26.25" customHeight="1" x14ac:dyDescent="0.3">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26.25" customHeight="1" x14ac:dyDescent="0.3">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26.25" customHeight="1" x14ac:dyDescent="0.3">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26.25" customHeight="1" x14ac:dyDescent="0.3">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26.25" customHeight="1" x14ac:dyDescent="0.3">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26.25" customHeight="1" x14ac:dyDescent="0.3">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26.25" customHeight="1" x14ac:dyDescent="0.3">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26.25" customHeight="1" x14ac:dyDescent="0.3">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26.25" customHeight="1" x14ac:dyDescent="0.3">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26.25" customHeight="1" x14ac:dyDescent="0.3">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26.25" customHeight="1" x14ac:dyDescent="0.3">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26.25" customHeight="1" x14ac:dyDescent="0.3">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26.25" customHeight="1" x14ac:dyDescent="0.3">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26.25" customHeight="1" x14ac:dyDescent="0.3">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26.25" customHeight="1" x14ac:dyDescent="0.3">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26.25" customHeight="1" x14ac:dyDescent="0.3">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26.25" customHeight="1" x14ac:dyDescent="0.3">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26.25" customHeight="1" x14ac:dyDescent="0.3">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26.25" customHeight="1" x14ac:dyDescent="0.3">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26.25" customHeight="1" x14ac:dyDescent="0.3">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26.25" customHeight="1" x14ac:dyDescent="0.3">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26.25" customHeight="1" x14ac:dyDescent="0.3">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26.25" customHeight="1" x14ac:dyDescent="0.3">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26.25" customHeight="1" x14ac:dyDescent="0.3">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26.25" customHeight="1" x14ac:dyDescent="0.3">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26.25" customHeight="1" x14ac:dyDescent="0.3">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26.25" customHeight="1" x14ac:dyDescent="0.3">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26.25" customHeight="1" x14ac:dyDescent="0.3">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26.25" customHeight="1" x14ac:dyDescent="0.3">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26.25" customHeight="1" x14ac:dyDescent="0.3">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26.25" customHeight="1" x14ac:dyDescent="0.3">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26.25" customHeight="1" x14ac:dyDescent="0.3">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26.25" customHeight="1" x14ac:dyDescent="0.3">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26.25" customHeight="1" x14ac:dyDescent="0.3">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26.25" customHeight="1" x14ac:dyDescent="0.3">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26.25" customHeight="1" x14ac:dyDescent="0.3">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26.25" customHeight="1" x14ac:dyDescent="0.3">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26.25" customHeight="1" x14ac:dyDescent="0.3">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26.25" customHeight="1" x14ac:dyDescent="0.3">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26.25" customHeight="1" x14ac:dyDescent="0.3">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26.25" customHeight="1" x14ac:dyDescent="0.3">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26.25" customHeight="1" x14ac:dyDescent="0.3">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26.25" customHeight="1" x14ac:dyDescent="0.3">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26.25" customHeight="1" x14ac:dyDescent="0.3">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26.25" customHeight="1" x14ac:dyDescent="0.3">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26.25" customHeight="1" x14ac:dyDescent="0.3">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26.25" customHeight="1" x14ac:dyDescent="0.3">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26.25" customHeight="1" x14ac:dyDescent="0.3">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26.25" customHeight="1" x14ac:dyDescent="0.3">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26.25" customHeight="1" x14ac:dyDescent="0.3">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26.25" customHeight="1" x14ac:dyDescent="0.3">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26.25" customHeight="1" x14ac:dyDescent="0.3">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26.25" customHeight="1" x14ac:dyDescent="0.3">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26.25" customHeight="1" x14ac:dyDescent="0.3">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26.25" customHeight="1" x14ac:dyDescent="0.3">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26.25" customHeight="1" x14ac:dyDescent="0.3">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26.25" customHeight="1" x14ac:dyDescent="0.3">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26.25" customHeight="1" x14ac:dyDescent="0.3">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26.25" customHeight="1" x14ac:dyDescent="0.3">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26.25" customHeight="1" x14ac:dyDescent="0.3">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26.25" customHeight="1" x14ac:dyDescent="0.3">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26.25" customHeight="1" x14ac:dyDescent="0.3">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26.25" customHeight="1" x14ac:dyDescent="0.3">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26.25" customHeight="1" x14ac:dyDescent="0.3">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26.25" customHeight="1" x14ac:dyDescent="0.3">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26.25" customHeight="1" x14ac:dyDescent="0.3">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26.25" customHeight="1" x14ac:dyDescent="0.3">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26.25" customHeight="1" x14ac:dyDescent="0.3">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26.25" customHeight="1" x14ac:dyDescent="0.3">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26.25" customHeight="1" x14ac:dyDescent="0.3">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26.25" customHeight="1" x14ac:dyDescent="0.3">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26.25" customHeight="1" x14ac:dyDescent="0.3">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26.25" customHeight="1" x14ac:dyDescent="0.3">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26.25" customHeight="1" x14ac:dyDescent="0.3">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26.25" customHeight="1" x14ac:dyDescent="0.3">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26.25" customHeight="1" x14ac:dyDescent="0.3">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26.25" customHeight="1" x14ac:dyDescent="0.3">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26.25" customHeight="1" x14ac:dyDescent="0.3">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26.25" customHeight="1" x14ac:dyDescent="0.3">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26.25" customHeight="1" x14ac:dyDescent="0.3">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26.25" customHeight="1" x14ac:dyDescent="0.3">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26.25" customHeight="1" x14ac:dyDescent="0.3">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26.25" customHeight="1" x14ac:dyDescent="0.3">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26.25" customHeight="1" x14ac:dyDescent="0.3">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26.25" customHeight="1" x14ac:dyDescent="0.3">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26.25" customHeight="1" x14ac:dyDescent="0.3">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26.25" customHeight="1" x14ac:dyDescent="0.3">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26.25" customHeight="1" x14ac:dyDescent="0.3">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26.25" customHeight="1" x14ac:dyDescent="0.3">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26.25" customHeight="1" x14ac:dyDescent="0.3">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26.25" customHeight="1" x14ac:dyDescent="0.3">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26.25" customHeight="1" x14ac:dyDescent="0.3">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26.25" customHeight="1" x14ac:dyDescent="0.3">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26.25" customHeight="1" x14ac:dyDescent="0.3">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26.25" customHeight="1" x14ac:dyDescent="0.3">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26.25" customHeight="1" x14ac:dyDescent="0.3">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26.25" customHeight="1" x14ac:dyDescent="0.3">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26.25" customHeight="1" x14ac:dyDescent="0.3">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26.25" customHeight="1" x14ac:dyDescent="0.3">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26.25" customHeight="1" x14ac:dyDescent="0.3">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26.25" customHeight="1" x14ac:dyDescent="0.3">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26.25" customHeight="1" x14ac:dyDescent="0.3">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26.25" customHeight="1" x14ac:dyDescent="0.3">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26.25" customHeight="1" x14ac:dyDescent="0.3">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26.25" customHeight="1" x14ac:dyDescent="0.3">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26.25" customHeight="1" x14ac:dyDescent="0.3">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26.25" customHeight="1" x14ac:dyDescent="0.3">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26.25" customHeight="1" x14ac:dyDescent="0.3">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26.25" customHeight="1" x14ac:dyDescent="0.3">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26.25" customHeight="1" x14ac:dyDescent="0.3">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26.25" customHeight="1" x14ac:dyDescent="0.3">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26.25" customHeight="1" x14ac:dyDescent="0.3">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26.25" customHeight="1" x14ac:dyDescent="0.3">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26.25" customHeight="1" x14ac:dyDescent="0.3">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26.25" customHeight="1" x14ac:dyDescent="0.3">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26.25" customHeight="1" x14ac:dyDescent="0.3">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26.25" customHeight="1" x14ac:dyDescent="0.3">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26.25" customHeight="1" x14ac:dyDescent="0.3">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26.25" customHeight="1" x14ac:dyDescent="0.3">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26.25" customHeight="1" x14ac:dyDescent="0.3">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26.25" customHeight="1" x14ac:dyDescent="0.3">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26.25" customHeight="1" x14ac:dyDescent="0.3">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26.25" customHeight="1" x14ac:dyDescent="0.3">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26.25" customHeight="1" x14ac:dyDescent="0.3">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26.25" customHeight="1" x14ac:dyDescent="0.3">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26.25" customHeight="1" x14ac:dyDescent="0.3">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26.25" customHeight="1" x14ac:dyDescent="0.3">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26.25" customHeight="1" x14ac:dyDescent="0.3">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26.25" customHeight="1" x14ac:dyDescent="0.3">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26.25" customHeight="1" x14ac:dyDescent="0.3">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26.25" customHeight="1" x14ac:dyDescent="0.3">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26.25" customHeight="1" x14ac:dyDescent="0.3">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26.25" customHeight="1" x14ac:dyDescent="0.3">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26.25" customHeight="1" x14ac:dyDescent="0.3">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26.25" customHeight="1" x14ac:dyDescent="0.3">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26.25" customHeight="1" x14ac:dyDescent="0.3">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26.25" customHeight="1" x14ac:dyDescent="0.3">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26.25" customHeight="1" x14ac:dyDescent="0.3">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26.25" customHeight="1" x14ac:dyDescent="0.3">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26.25" customHeight="1" x14ac:dyDescent="0.3">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26.25" customHeight="1" x14ac:dyDescent="0.3">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26.25" customHeight="1" x14ac:dyDescent="0.3">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26.25" customHeight="1" x14ac:dyDescent="0.3">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26.25" customHeight="1" x14ac:dyDescent="0.3">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26.25" customHeight="1" x14ac:dyDescent="0.3">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26.25" customHeight="1" x14ac:dyDescent="0.3">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26.25" customHeight="1" x14ac:dyDescent="0.3">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26.25" customHeight="1" x14ac:dyDescent="0.3">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26.25" customHeight="1" x14ac:dyDescent="0.3">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26.25" customHeight="1" x14ac:dyDescent="0.3">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26.25" customHeight="1" x14ac:dyDescent="0.3">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26.25" customHeight="1" x14ac:dyDescent="0.3">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26.25" customHeight="1" x14ac:dyDescent="0.3">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26.25" customHeight="1" x14ac:dyDescent="0.3">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26.25" customHeight="1" x14ac:dyDescent="0.3">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26.25" customHeight="1" x14ac:dyDescent="0.3">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26.25" customHeight="1" x14ac:dyDescent="0.3">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26.25" customHeight="1" x14ac:dyDescent="0.3">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26.25" customHeight="1" x14ac:dyDescent="0.3">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26.25" customHeight="1" x14ac:dyDescent="0.3">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26.25" customHeight="1" x14ac:dyDescent="0.3">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26.25" customHeight="1" x14ac:dyDescent="0.3">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26.25" customHeight="1" x14ac:dyDescent="0.3">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26.25" customHeight="1" x14ac:dyDescent="0.3">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26.25" customHeight="1" x14ac:dyDescent="0.3">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26.25" customHeight="1" x14ac:dyDescent="0.3">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26.25" customHeight="1" x14ac:dyDescent="0.3">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26.25" customHeight="1" x14ac:dyDescent="0.3">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26.25" customHeight="1" x14ac:dyDescent="0.3">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26.25" customHeight="1" x14ac:dyDescent="0.3">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26.25" customHeight="1" x14ac:dyDescent="0.3">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26.25" customHeight="1" x14ac:dyDescent="0.3">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26.25" customHeight="1" x14ac:dyDescent="0.3">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26.25" customHeight="1" x14ac:dyDescent="0.3">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26.25" customHeight="1" x14ac:dyDescent="0.3">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26.25" customHeight="1" x14ac:dyDescent="0.3">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26.25" customHeight="1" x14ac:dyDescent="0.3">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26.25" customHeight="1" x14ac:dyDescent="0.3">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26.25" customHeight="1" x14ac:dyDescent="0.3">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26.25" customHeight="1" x14ac:dyDescent="0.3">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26.25" customHeight="1" x14ac:dyDescent="0.3">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26.25" customHeight="1" x14ac:dyDescent="0.3">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26.25" customHeight="1" x14ac:dyDescent="0.3">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26.25" customHeight="1" x14ac:dyDescent="0.3">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26.25" customHeight="1" x14ac:dyDescent="0.3">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26.25" customHeight="1" x14ac:dyDescent="0.3">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26.25" customHeight="1" x14ac:dyDescent="0.3">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26.25" customHeight="1" x14ac:dyDescent="0.3">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26.25" customHeight="1" x14ac:dyDescent="0.3">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26.25" customHeight="1" x14ac:dyDescent="0.3">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26.25" customHeight="1" x14ac:dyDescent="0.3">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26.25" customHeight="1" x14ac:dyDescent="0.3">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26.25" customHeight="1" x14ac:dyDescent="0.3">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26.25" customHeight="1" x14ac:dyDescent="0.3">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26.25" customHeight="1" x14ac:dyDescent="0.3">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26.25" customHeight="1" x14ac:dyDescent="0.3">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26.25" customHeight="1" x14ac:dyDescent="0.3">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26.25" customHeight="1" x14ac:dyDescent="0.3">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26.25" customHeight="1" x14ac:dyDescent="0.3">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26.25" customHeight="1" x14ac:dyDescent="0.3">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26.25" customHeight="1" x14ac:dyDescent="0.3">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26.25" customHeight="1" x14ac:dyDescent="0.3">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26.25" customHeight="1" x14ac:dyDescent="0.3">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26.25" customHeight="1" x14ac:dyDescent="0.3">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26.25" customHeight="1" x14ac:dyDescent="0.3">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26.25" customHeight="1" x14ac:dyDescent="0.3">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26.25" customHeight="1" x14ac:dyDescent="0.3">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26.25" customHeight="1" x14ac:dyDescent="0.3">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26.25" customHeight="1" x14ac:dyDescent="0.3">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26.25" customHeight="1" x14ac:dyDescent="0.3">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26.25" customHeight="1" x14ac:dyDescent="0.3">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26.25" customHeight="1" x14ac:dyDescent="0.3">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26.25" customHeight="1" x14ac:dyDescent="0.3">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26.25" customHeight="1" x14ac:dyDescent="0.3">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26.25" customHeight="1" x14ac:dyDescent="0.3">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26.25" customHeight="1" x14ac:dyDescent="0.3">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26.25" customHeight="1" x14ac:dyDescent="0.3">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26.25" customHeight="1" x14ac:dyDescent="0.3">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26.25" customHeight="1" x14ac:dyDescent="0.3">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26.25" customHeight="1" x14ac:dyDescent="0.3">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26.25" customHeight="1" x14ac:dyDescent="0.3">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26.25" customHeight="1" x14ac:dyDescent="0.3">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26.25" customHeight="1" x14ac:dyDescent="0.3">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26.25" customHeight="1" x14ac:dyDescent="0.3">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26.25" customHeight="1" x14ac:dyDescent="0.3">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26.25" customHeight="1" x14ac:dyDescent="0.3">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26.25" customHeight="1" x14ac:dyDescent="0.3">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26.25" customHeight="1" x14ac:dyDescent="0.3">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26.25" customHeight="1" x14ac:dyDescent="0.3">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26.25" customHeight="1" x14ac:dyDescent="0.3">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26.25" customHeight="1" x14ac:dyDescent="0.3">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26.25" customHeight="1" x14ac:dyDescent="0.3">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26.25" customHeight="1" x14ac:dyDescent="0.3">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26.25" customHeight="1" x14ac:dyDescent="0.3">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26.25" customHeight="1" x14ac:dyDescent="0.3">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26.25" customHeight="1" x14ac:dyDescent="0.3">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26.25" customHeight="1" x14ac:dyDescent="0.3">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26.25" customHeight="1" x14ac:dyDescent="0.3">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26.25" customHeight="1" x14ac:dyDescent="0.3">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26.25" customHeight="1" x14ac:dyDescent="0.3">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26.25" customHeight="1" x14ac:dyDescent="0.3">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26.25" customHeight="1" x14ac:dyDescent="0.3">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26.25" customHeight="1" x14ac:dyDescent="0.3">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26.25" customHeight="1" x14ac:dyDescent="0.3">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26.25" customHeight="1" x14ac:dyDescent="0.3">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26.25" customHeight="1" x14ac:dyDescent="0.3">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26.25" customHeight="1" x14ac:dyDescent="0.3">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26.25" customHeight="1" x14ac:dyDescent="0.3">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26.25" customHeight="1" x14ac:dyDescent="0.3">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26.25" customHeight="1" x14ac:dyDescent="0.3">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26.25" customHeight="1" x14ac:dyDescent="0.3">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26.25" customHeight="1" x14ac:dyDescent="0.3">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26.25" customHeight="1" x14ac:dyDescent="0.3">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26.25" customHeight="1" x14ac:dyDescent="0.3">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26.25" customHeight="1" x14ac:dyDescent="0.3">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26.25" customHeight="1" x14ac:dyDescent="0.3">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26.25" customHeight="1" x14ac:dyDescent="0.3">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26.25" customHeight="1" x14ac:dyDescent="0.3">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26.25" customHeight="1" x14ac:dyDescent="0.3">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26.25" customHeight="1" x14ac:dyDescent="0.3">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26.25" customHeight="1" x14ac:dyDescent="0.3">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26.25" customHeight="1" x14ac:dyDescent="0.3">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26.25" customHeight="1" x14ac:dyDescent="0.3">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26.25" customHeight="1" x14ac:dyDescent="0.3">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26.25" customHeight="1" x14ac:dyDescent="0.3">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26.25" customHeight="1" x14ac:dyDescent="0.3">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26.25" customHeight="1" x14ac:dyDescent="0.3">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26.25" customHeight="1" x14ac:dyDescent="0.3">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26.25" customHeight="1" x14ac:dyDescent="0.3">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26.25" customHeight="1" x14ac:dyDescent="0.3">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26.25" customHeight="1" x14ac:dyDescent="0.3">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26.25" customHeight="1" x14ac:dyDescent="0.3">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26.25" customHeight="1" x14ac:dyDescent="0.3">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26.25" customHeight="1" x14ac:dyDescent="0.3">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26.25" customHeight="1" x14ac:dyDescent="0.3">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26.25" customHeight="1" x14ac:dyDescent="0.3">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26.25" customHeight="1" x14ac:dyDescent="0.3">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26.25" customHeight="1" x14ac:dyDescent="0.3">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26.25" customHeight="1" x14ac:dyDescent="0.3">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26.25" customHeight="1" x14ac:dyDescent="0.3">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26.25" customHeight="1" x14ac:dyDescent="0.3">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26.25" customHeight="1" x14ac:dyDescent="0.3">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26.25" customHeight="1" x14ac:dyDescent="0.3">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26.25" customHeight="1" x14ac:dyDescent="0.3">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26.25" customHeight="1" x14ac:dyDescent="0.3">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26.25" customHeight="1" x14ac:dyDescent="0.3">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26.25" customHeight="1" x14ac:dyDescent="0.3">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26.25" customHeight="1" x14ac:dyDescent="0.3">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26.25" customHeight="1" x14ac:dyDescent="0.3">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26.25" customHeight="1" x14ac:dyDescent="0.3">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26.25" customHeight="1" x14ac:dyDescent="0.3">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26.25" customHeight="1" x14ac:dyDescent="0.3">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26.25" customHeight="1" x14ac:dyDescent="0.3">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26.25" customHeight="1" x14ac:dyDescent="0.3">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26.25" customHeight="1" x14ac:dyDescent="0.3">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26.25" customHeight="1" x14ac:dyDescent="0.3">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26.25" customHeight="1" x14ac:dyDescent="0.3">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26.25" customHeight="1" x14ac:dyDescent="0.3">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26.25" customHeight="1" x14ac:dyDescent="0.3">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26.25" customHeight="1" x14ac:dyDescent="0.3">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26.25" customHeight="1" x14ac:dyDescent="0.3">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26.25" customHeight="1" x14ac:dyDescent="0.3">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26.25" customHeight="1" x14ac:dyDescent="0.3">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26.25" customHeight="1" x14ac:dyDescent="0.3">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26.25" customHeight="1" x14ac:dyDescent="0.3">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26.25" customHeight="1" x14ac:dyDescent="0.3">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26.25" customHeight="1" x14ac:dyDescent="0.3">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26.25" customHeight="1" x14ac:dyDescent="0.3">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26.25" customHeight="1" x14ac:dyDescent="0.3">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26.25" customHeight="1" x14ac:dyDescent="0.3">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26.25" customHeight="1" x14ac:dyDescent="0.3">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26.25" customHeight="1" x14ac:dyDescent="0.3">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26.25" customHeight="1" x14ac:dyDescent="0.3">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26.25" customHeight="1" x14ac:dyDescent="0.3">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26.25" customHeight="1" x14ac:dyDescent="0.3">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26.25" customHeight="1" x14ac:dyDescent="0.3">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26.25" customHeight="1" x14ac:dyDescent="0.3">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26.25" customHeight="1" x14ac:dyDescent="0.3">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26.25" customHeight="1" x14ac:dyDescent="0.3">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26.25" customHeight="1" x14ac:dyDescent="0.3">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26.25" customHeight="1" x14ac:dyDescent="0.3">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26.25" customHeight="1" x14ac:dyDescent="0.3">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26.25" customHeight="1" x14ac:dyDescent="0.3">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26.25" customHeight="1" x14ac:dyDescent="0.3">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26.25" customHeight="1" x14ac:dyDescent="0.3">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26.25" customHeight="1" x14ac:dyDescent="0.3">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26.25" customHeight="1" x14ac:dyDescent="0.3">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26.25" customHeight="1" x14ac:dyDescent="0.3">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26.25" customHeight="1" x14ac:dyDescent="0.3">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26.25" customHeight="1" x14ac:dyDescent="0.3">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26.25" customHeight="1" x14ac:dyDescent="0.3">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26.25" customHeight="1" x14ac:dyDescent="0.3">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26.25" customHeight="1" x14ac:dyDescent="0.3">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26.25" customHeight="1" x14ac:dyDescent="0.3">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26.25" customHeight="1" x14ac:dyDescent="0.3">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26.25" customHeight="1" x14ac:dyDescent="0.3">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26.25" customHeight="1" x14ac:dyDescent="0.3">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26.25" customHeight="1" x14ac:dyDescent="0.3">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26.25" customHeight="1" x14ac:dyDescent="0.3">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26.25" customHeight="1" x14ac:dyDescent="0.3">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26.25" customHeight="1" x14ac:dyDescent="0.3">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26.25" customHeight="1" x14ac:dyDescent="0.3">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26.25" customHeight="1" x14ac:dyDescent="0.3">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26.25" customHeight="1" x14ac:dyDescent="0.3">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26.25" customHeight="1" x14ac:dyDescent="0.3">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26.25" customHeight="1" x14ac:dyDescent="0.3">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26.25" customHeight="1" x14ac:dyDescent="0.3">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26.25" customHeight="1" x14ac:dyDescent="0.3">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26.25" customHeight="1" x14ac:dyDescent="0.3">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26.25" customHeight="1" x14ac:dyDescent="0.3">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26.25" customHeight="1" x14ac:dyDescent="0.3">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26.25" customHeight="1" x14ac:dyDescent="0.3">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26.25" customHeight="1" x14ac:dyDescent="0.3">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26.25" customHeight="1" x14ac:dyDescent="0.3">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26.25" customHeight="1" x14ac:dyDescent="0.3">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26.25" customHeight="1" x14ac:dyDescent="0.3">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26.25" customHeight="1" x14ac:dyDescent="0.3">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26.25" customHeight="1" x14ac:dyDescent="0.3">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26.25" customHeight="1" x14ac:dyDescent="0.3">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26.25" customHeight="1" x14ac:dyDescent="0.3">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26.25" customHeight="1" x14ac:dyDescent="0.3">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26.25" customHeight="1" x14ac:dyDescent="0.3">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26.25" customHeight="1" x14ac:dyDescent="0.3">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26.25" customHeight="1" x14ac:dyDescent="0.3">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26.25" customHeight="1" x14ac:dyDescent="0.3">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26.25" customHeight="1" x14ac:dyDescent="0.3">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26.25" customHeight="1" x14ac:dyDescent="0.3">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26.25" customHeight="1" x14ac:dyDescent="0.3">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26.25" customHeight="1" x14ac:dyDescent="0.3">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26.25" customHeight="1" x14ac:dyDescent="0.3">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26.25" customHeight="1" x14ac:dyDescent="0.3">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26.25" customHeight="1" x14ac:dyDescent="0.3">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26.25" customHeight="1" x14ac:dyDescent="0.3">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26.25" customHeight="1" x14ac:dyDescent="0.3">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26.25" customHeight="1" x14ac:dyDescent="0.3">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26.25" customHeight="1" x14ac:dyDescent="0.3">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26.25" customHeight="1" x14ac:dyDescent="0.3">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26.25" customHeight="1" x14ac:dyDescent="0.3">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26.25" customHeight="1" x14ac:dyDescent="0.3">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26.25" customHeight="1" x14ac:dyDescent="0.3">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26.25" customHeight="1" x14ac:dyDescent="0.3">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26.25" customHeight="1" x14ac:dyDescent="0.3">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26.25" customHeight="1" x14ac:dyDescent="0.3">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26.25" customHeight="1" x14ac:dyDescent="0.3">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26.25" customHeight="1" x14ac:dyDescent="0.3">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26.25" customHeight="1" x14ac:dyDescent="0.3">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26.25" customHeight="1" x14ac:dyDescent="0.3">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26.25" customHeight="1" x14ac:dyDescent="0.3">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26.25" customHeight="1" x14ac:dyDescent="0.3">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26.25" customHeight="1" x14ac:dyDescent="0.3">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26.25" customHeight="1" x14ac:dyDescent="0.3">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26.25" customHeight="1" x14ac:dyDescent="0.3">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26.25" customHeight="1" x14ac:dyDescent="0.3">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26.25" customHeight="1" x14ac:dyDescent="0.3">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26.25" customHeight="1" x14ac:dyDescent="0.3">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26.25" customHeight="1" x14ac:dyDescent="0.3">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26.25" customHeight="1" x14ac:dyDescent="0.3">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26.25" customHeight="1" x14ac:dyDescent="0.3">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26.25" customHeight="1" x14ac:dyDescent="0.3">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26.25" customHeight="1" x14ac:dyDescent="0.3">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26.25" customHeight="1" x14ac:dyDescent="0.3">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26.25" customHeight="1" x14ac:dyDescent="0.3">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26.25" customHeight="1" x14ac:dyDescent="0.3">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26.25" customHeight="1" x14ac:dyDescent="0.3">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26.25" customHeight="1" x14ac:dyDescent="0.3">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26.25" customHeight="1" x14ac:dyDescent="0.3">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26.25" customHeight="1" x14ac:dyDescent="0.3">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26.25" customHeight="1" x14ac:dyDescent="0.3">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26.25" customHeight="1" x14ac:dyDescent="0.3">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26.25" customHeight="1" x14ac:dyDescent="0.3">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26.25" customHeight="1" x14ac:dyDescent="0.3">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26.25" customHeight="1" x14ac:dyDescent="0.3">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26.25" customHeight="1" x14ac:dyDescent="0.3">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26.25" customHeight="1" x14ac:dyDescent="0.3">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26.25" customHeight="1" x14ac:dyDescent="0.3">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26.25" customHeight="1" x14ac:dyDescent="0.3">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26.25" customHeight="1" x14ac:dyDescent="0.3">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26.25" customHeight="1" x14ac:dyDescent="0.3">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26.25" customHeight="1" x14ac:dyDescent="0.3">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26.25" customHeight="1" x14ac:dyDescent="0.3">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26.25" customHeight="1" x14ac:dyDescent="0.3">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26.25" customHeight="1" x14ac:dyDescent="0.3">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26.25" customHeight="1" x14ac:dyDescent="0.3">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26.25" customHeight="1" x14ac:dyDescent="0.3">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26.25" customHeight="1" x14ac:dyDescent="0.3">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26.25" customHeight="1" x14ac:dyDescent="0.3">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26.25" customHeight="1" x14ac:dyDescent="0.3">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26.25" customHeight="1" x14ac:dyDescent="0.3">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26.25" customHeight="1" x14ac:dyDescent="0.3">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26.25" customHeight="1" x14ac:dyDescent="0.3">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26.25" customHeight="1" x14ac:dyDescent="0.3">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26.25" customHeight="1" x14ac:dyDescent="0.3">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26.25" customHeight="1" x14ac:dyDescent="0.3">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26.25" customHeight="1" x14ac:dyDescent="0.3">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26.25" customHeight="1" x14ac:dyDescent="0.3">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26.25" customHeight="1" x14ac:dyDescent="0.3">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26.25" customHeight="1" x14ac:dyDescent="0.3">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26.25" customHeight="1" x14ac:dyDescent="0.3">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26.25" customHeight="1" x14ac:dyDescent="0.3">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26.25" customHeight="1" x14ac:dyDescent="0.3">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26.25" customHeight="1" x14ac:dyDescent="0.3">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26.25" customHeight="1" x14ac:dyDescent="0.3">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26.25" customHeight="1" x14ac:dyDescent="0.3">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26.25" customHeight="1" x14ac:dyDescent="0.3">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26.25" customHeight="1" x14ac:dyDescent="0.3">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26.25" customHeight="1" x14ac:dyDescent="0.3">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26.25" customHeight="1" x14ac:dyDescent="0.3">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26.25" customHeight="1" x14ac:dyDescent="0.3">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26.25" customHeight="1" x14ac:dyDescent="0.3">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26.25" customHeight="1" x14ac:dyDescent="0.3">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26.25" customHeight="1" x14ac:dyDescent="0.3">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26.25" customHeight="1" x14ac:dyDescent="0.3">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26.25" customHeight="1" x14ac:dyDescent="0.3">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26.25" customHeight="1" x14ac:dyDescent="0.3">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26.25" customHeight="1" x14ac:dyDescent="0.3">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26.25" customHeight="1" x14ac:dyDescent="0.3">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26.25" customHeight="1" x14ac:dyDescent="0.3">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26.25" customHeight="1" x14ac:dyDescent="0.3">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26.25" customHeight="1" x14ac:dyDescent="0.3">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26.25" customHeight="1" x14ac:dyDescent="0.3">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26.25" customHeight="1" x14ac:dyDescent="0.3">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26.25" customHeight="1" x14ac:dyDescent="0.3">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26.25" customHeight="1" x14ac:dyDescent="0.3">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26.25" customHeight="1" x14ac:dyDescent="0.3">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26.25" customHeight="1" x14ac:dyDescent="0.3">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26.25" customHeight="1" x14ac:dyDescent="0.3">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26.25" customHeight="1" x14ac:dyDescent="0.3">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26.25" customHeight="1" x14ac:dyDescent="0.3">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26.25" customHeight="1" x14ac:dyDescent="0.3">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26.25" customHeight="1" x14ac:dyDescent="0.3">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26.25" customHeight="1" x14ac:dyDescent="0.3">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26.25" customHeight="1" x14ac:dyDescent="0.3">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26.25" customHeight="1" x14ac:dyDescent="0.3">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26.25" customHeight="1" x14ac:dyDescent="0.3">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26.25" customHeight="1" x14ac:dyDescent="0.3">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26.25" customHeight="1" x14ac:dyDescent="0.3">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26.25" customHeight="1" x14ac:dyDescent="0.3">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26.25" customHeight="1" x14ac:dyDescent="0.3">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26.25" customHeight="1" x14ac:dyDescent="0.3">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26.25" customHeight="1" x14ac:dyDescent="0.3">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26.25" customHeight="1" x14ac:dyDescent="0.3">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26.25" customHeight="1" x14ac:dyDescent="0.3">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26.25" customHeight="1" x14ac:dyDescent="0.3">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26.25" customHeight="1" x14ac:dyDescent="0.3">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26.25" customHeight="1" x14ac:dyDescent="0.3">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26.25" customHeight="1" x14ac:dyDescent="0.3">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26.25" customHeight="1" x14ac:dyDescent="0.3">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26.25" customHeight="1" x14ac:dyDescent="0.3">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26.25" customHeight="1" x14ac:dyDescent="0.3">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26.25" customHeight="1" x14ac:dyDescent="0.3">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26.25" customHeight="1" x14ac:dyDescent="0.3">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26.25" customHeight="1" x14ac:dyDescent="0.3">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26.25" customHeight="1" x14ac:dyDescent="0.3">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26.25" customHeight="1" x14ac:dyDescent="0.3">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26.25" customHeight="1" x14ac:dyDescent="0.3">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26.25" customHeight="1" x14ac:dyDescent="0.3">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26.25" customHeight="1" x14ac:dyDescent="0.3">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26.25" customHeight="1" x14ac:dyDescent="0.3">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26.25" customHeight="1" x14ac:dyDescent="0.3">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26.25" customHeight="1" x14ac:dyDescent="0.3">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26.25" customHeight="1" x14ac:dyDescent="0.3">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26.25" customHeight="1" x14ac:dyDescent="0.3">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26.25" customHeight="1" x14ac:dyDescent="0.3">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26.25" customHeight="1" x14ac:dyDescent="0.3">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26.25" customHeight="1" x14ac:dyDescent="0.3">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26.25" customHeight="1" x14ac:dyDescent="0.3">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26.25" customHeight="1" x14ac:dyDescent="0.3">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26.25" customHeight="1" x14ac:dyDescent="0.3">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26.25" customHeight="1" x14ac:dyDescent="0.3">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26.25" customHeight="1" x14ac:dyDescent="0.3">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26.25" customHeight="1" x14ac:dyDescent="0.3">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26.25" customHeight="1" x14ac:dyDescent="0.3">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26.25" customHeight="1" x14ac:dyDescent="0.3">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26.25" customHeight="1" x14ac:dyDescent="0.3">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26.25" customHeight="1" x14ac:dyDescent="0.3">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26.25" customHeight="1" x14ac:dyDescent="0.3">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26.25" customHeight="1" x14ac:dyDescent="0.3">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26.25" customHeight="1" x14ac:dyDescent="0.3">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26.25" customHeight="1" x14ac:dyDescent="0.3">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26.25" customHeight="1" x14ac:dyDescent="0.3">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26.25" customHeight="1" x14ac:dyDescent="0.3">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26.25" customHeight="1" x14ac:dyDescent="0.3">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26.25" customHeight="1" x14ac:dyDescent="0.3">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26.25" customHeight="1" x14ac:dyDescent="0.3">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26.25" customHeight="1" x14ac:dyDescent="0.3">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26.25" customHeight="1" x14ac:dyDescent="0.3">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26.25" customHeight="1" x14ac:dyDescent="0.3">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26.25" customHeight="1" x14ac:dyDescent="0.3">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26.25" customHeight="1" x14ac:dyDescent="0.3">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26.25" customHeight="1" x14ac:dyDescent="0.3">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26.25" customHeight="1" x14ac:dyDescent="0.3">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26.25" customHeight="1" x14ac:dyDescent="0.3">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26.25" customHeight="1" x14ac:dyDescent="0.3">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26.25" customHeight="1" x14ac:dyDescent="0.3">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26.25" customHeight="1" x14ac:dyDescent="0.3">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26.25" customHeight="1" x14ac:dyDescent="0.3">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26.25" customHeight="1" x14ac:dyDescent="0.3">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26.25" customHeight="1" x14ac:dyDescent="0.3">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26.25" customHeight="1" x14ac:dyDescent="0.3">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26.25" customHeight="1" x14ac:dyDescent="0.3">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26.25" customHeight="1" x14ac:dyDescent="0.3">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26.25" customHeight="1" x14ac:dyDescent="0.3">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26.25" customHeight="1" x14ac:dyDescent="0.3">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26.25" customHeight="1" x14ac:dyDescent="0.3">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26.25" customHeight="1" x14ac:dyDescent="0.3">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26.25" customHeight="1" x14ac:dyDescent="0.3">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26.25" customHeight="1" x14ac:dyDescent="0.3">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26.25" customHeight="1" x14ac:dyDescent="0.3">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26.25" customHeight="1" x14ac:dyDescent="0.3">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26.25" customHeight="1" x14ac:dyDescent="0.3">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26.25" customHeight="1" x14ac:dyDescent="0.3">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26.25" customHeight="1" x14ac:dyDescent="0.3">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26.25" customHeight="1" x14ac:dyDescent="0.3">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26.25" customHeight="1" x14ac:dyDescent="0.3">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26.25" customHeight="1" x14ac:dyDescent="0.3">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26.25" customHeight="1" x14ac:dyDescent="0.3">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26.25" customHeight="1" x14ac:dyDescent="0.3">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26.25" customHeight="1" x14ac:dyDescent="0.3">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26.25" customHeight="1" x14ac:dyDescent="0.3">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26.25" customHeight="1" x14ac:dyDescent="0.3">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26.25" customHeight="1" x14ac:dyDescent="0.3">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26.25" customHeight="1" x14ac:dyDescent="0.3">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26.25" customHeight="1" x14ac:dyDescent="0.3">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26.25" customHeight="1" x14ac:dyDescent="0.3">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26.25" customHeight="1" x14ac:dyDescent="0.3">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26.25" customHeight="1" x14ac:dyDescent="0.3">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26.25" customHeight="1" x14ac:dyDescent="0.3">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26.25" customHeight="1" x14ac:dyDescent="0.3">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26.25" customHeight="1" x14ac:dyDescent="0.3">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26.25" customHeight="1" x14ac:dyDescent="0.3">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26.25" customHeight="1" x14ac:dyDescent="0.3">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26.25" customHeight="1" x14ac:dyDescent="0.3">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26.25" customHeight="1" x14ac:dyDescent="0.3">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26.25" customHeight="1" x14ac:dyDescent="0.3">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26.25" customHeight="1" x14ac:dyDescent="0.3">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26.25" customHeight="1" x14ac:dyDescent="0.3">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26.25" customHeight="1" x14ac:dyDescent="0.3">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26.25" customHeight="1" x14ac:dyDescent="0.3">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26.25" customHeight="1" x14ac:dyDescent="0.3">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26.25" customHeight="1" x14ac:dyDescent="0.3">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26.25" customHeight="1" x14ac:dyDescent="0.3">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26.25" customHeight="1" x14ac:dyDescent="0.3">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26.25" customHeight="1" x14ac:dyDescent="0.3">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26.25" customHeight="1" x14ac:dyDescent="0.3">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26.25" customHeight="1" x14ac:dyDescent="0.3">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26.25" customHeight="1" x14ac:dyDescent="0.3">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26.25" customHeight="1" x14ac:dyDescent="0.3">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26.25" customHeight="1" x14ac:dyDescent="0.3">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26.25" customHeight="1" x14ac:dyDescent="0.3">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26.25" customHeight="1" x14ac:dyDescent="0.3">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26.25" customHeight="1" x14ac:dyDescent="0.3">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26.25" customHeight="1" x14ac:dyDescent="0.3">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26.25" customHeight="1" x14ac:dyDescent="0.3">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26.25" customHeight="1" x14ac:dyDescent="0.3">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26.25" customHeight="1" x14ac:dyDescent="0.3">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26.25" customHeight="1" x14ac:dyDescent="0.3">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26.25" customHeight="1" x14ac:dyDescent="0.3">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26.25" customHeight="1" x14ac:dyDescent="0.3">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26.25" customHeight="1" x14ac:dyDescent="0.3">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26.25" customHeight="1" x14ac:dyDescent="0.3">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26.25" customHeight="1" x14ac:dyDescent="0.3">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26.25" customHeight="1" x14ac:dyDescent="0.3">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26.25" customHeight="1" x14ac:dyDescent="0.3">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26.25" customHeight="1" x14ac:dyDescent="0.3">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26.25" customHeight="1" x14ac:dyDescent="0.3">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26.25" customHeight="1" x14ac:dyDescent="0.3">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26.25" customHeight="1" x14ac:dyDescent="0.3">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26.25" customHeight="1" x14ac:dyDescent="0.3">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26.25" customHeight="1" x14ac:dyDescent="0.3">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26.25" customHeight="1" x14ac:dyDescent="0.3">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26.25" customHeight="1" x14ac:dyDescent="0.3">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26.25" customHeight="1" x14ac:dyDescent="0.3">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26.25" customHeight="1" x14ac:dyDescent="0.3">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26.25" customHeight="1" x14ac:dyDescent="0.3">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26.25" customHeight="1" x14ac:dyDescent="0.3">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26.25" customHeight="1" x14ac:dyDescent="0.3">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26.25" customHeight="1" x14ac:dyDescent="0.3">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26.25" customHeight="1" x14ac:dyDescent="0.3">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26.25" customHeight="1" x14ac:dyDescent="0.3">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26.25" customHeight="1" x14ac:dyDescent="0.3">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26.25" customHeight="1" x14ac:dyDescent="0.3">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26.25" customHeight="1" x14ac:dyDescent="0.3">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26.25" customHeight="1" x14ac:dyDescent="0.3">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26.25" customHeight="1" x14ac:dyDescent="0.3">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26.25" customHeight="1" x14ac:dyDescent="0.3">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26.25" customHeight="1" x14ac:dyDescent="0.3">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26.25" customHeight="1" x14ac:dyDescent="0.3">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26.25" customHeight="1" x14ac:dyDescent="0.3">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26.25" customHeight="1" x14ac:dyDescent="0.3">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26.25" customHeight="1" x14ac:dyDescent="0.3">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26.25" customHeight="1" x14ac:dyDescent="0.3">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26.25" customHeight="1" x14ac:dyDescent="0.3">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26.25" customHeight="1" x14ac:dyDescent="0.3">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26.25" customHeight="1" x14ac:dyDescent="0.3">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26.25" customHeight="1" x14ac:dyDescent="0.3">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26.25" customHeight="1" x14ac:dyDescent="0.3">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26.25" customHeight="1" x14ac:dyDescent="0.3">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26.25" customHeight="1" x14ac:dyDescent="0.3">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26.25" customHeight="1" x14ac:dyDescent="0.3">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26.25" customHeight="1" x14ac:dyDescent="0.3">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26.25" customHeight="1" x14ac:dyDescent="0.3">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26.25" customHeight="1" x14ac:dyDescent="0.3">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26.25" customHeight="1" x14ac:dyDescent="0.3">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26.25" customHeight="1" x14ac:dyDescent="0.3">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26.25" customHeight="1" x14ac:dyDescent="0.3">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26.25" customHeight="1" x14ac:dyDescent="0.3">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26.25" customHeight="1" x14ac:dyDescent="0.3">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26.25" customHeight="1" x14ac:dyDescent="0.3">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26.25" customHeight="1" x14ac:dyDescent="0.3">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26.25" customHeight="1" x14ac:dyDescent="0.3">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26.25" customHeight="1" x14ac:dyDescent="0.3">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26.25" customHeight="1" x14ac:dyDescent="0.3">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26.25" customHeight="1" x14ac:dyDescent="0.3">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26.25" customHeight="1" x14ac:dyDescent="0.3">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26.25" customHeight="1" x14ac:dyDescent="0.3">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26.25" customHeight="1" x14ac:dyDescent="0.3">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26.25" customHeight="1" x14ac:dyDescent="0.3">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26.25" customHeight="1" x14ac:dyDescent="0.3">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26.25" customHeight="1" x14ac:dyDescent="0.3">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26.25" customHeight="1" x14ac:dyDescent="0.3">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26.25" customHeight="1" x14ac:dyDescent="0.3">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26.25" customHeight="1" x14ac:dyDescent="0.3">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26.25" customHeight="1" x14ac:dyDescent="0.3">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26.25" customHeight="1" x14ac:dyDescent="0.3">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26.25" customHeight="1" x14ac:dyDescent="0.3">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26.25" customHeight="1" x14ac:dyDescent="0.3">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26.25" customHeight="1" x14ac:dyDescent="0.3">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26.25" customHeight="1" x14ac:dyDescent="0.3">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26.25" customHeight="1" x14ac:dyDescent="0.3">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26.25" customHeight="1" x14ac:dyDescent="0.3">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26.25" customHeight="1" x14ac:dyDescent="0.3">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26.25" customHeight="1" x14ac:dyDescent="0.3">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26.25" customHeight="1" x14ac:dyDescent="0.3">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26.25" customHeight="1" x14ac:dyDescent="0.3">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26.25" customHeight="1" x14ac:dyDescent="0.3">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26.25" customHeight="1" x14ac:dyDescent="0.3">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26.25" customHeight="1" x14ac:dyDescent="0.3">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26.25" customHeight="1" x14ac:dyDescent="0.3">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26.25" customHeight="1" x14ac:dyDescent="0.3">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26.25" customHeight="1" x14ac:dyDescent="0.3">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6">
    <mergeCell ref="A6:A8"/>
    <mergeCell ref="A1:A2"/>
    <mergeCell ref="B1:B2"/>
    <mergeCell ref="C1:H1"/>
    <mergeCell ref="I1:M1"/>
    <mergeCell ref="A3:A5"/>
  </mergeCells>
  <conditionalFormatting sqref="A1:C1 I1:M1 A2 H2 L2:M2">
    <cfRule type="cellIs" dxfId="4" priority="1" operator="lessThan">
      <formula>0</formula>
    </cfRule>
  </conditionalFormatting>
  <conditionalFormatting sqref="B3:M8 C9:M9">
    <cfRule type="cellIs" dxfId="3" priority="2" operator="lessThan">
      <formula>0</formula>
    </cfRule>
  </conditionalFormatting>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374C81"/>
  </sheetPr>
  <dimension ref="A1:M1000"/>
  <sheetViews>
    <sheetView workbookViewId="0"/>
  </sheetViews>
  <sheetFormatPr baseColWidth="10" defaultColWidth="14.5" defaultRowHeight="15" customHeight="1" x14ac:dyDescent="0.2"/>
  <cols>
    <col min="1" max="1" width="32.5" customWidth="1"/>
    <col min="2" max="2" width="32" customWidth="1"/>
    <col min="3" max="3" width="25.83203125" customWidth="1"/>
    <col min="4" max="4" width="13.33203125" customWidth="1"/>
    <col min="5" max="13" width="25.83203125" customWidth="1"/>
    <col min="14" max="26" width="11.5" customWidth="1"/>
  </cols>
  <sheetData>
    <row r="1" spans="1:13" ht="25.5" customHeight="1" x14ac:dyDescent="0.25">
      <c r="A1" s="606" t="s">
        <v>459</v>
      </c>
      <c r="B1" s="608" t="s">
        <v>460</v>
      </c>
      <c r="C1" s="609" t="s">
        <v>379</v>
      </c>
      <c r="D1" s="610"/>
      <c r="E1" s="610"/>
      <c r="F1" s="610"/>
      <c r="G1" s="610"/>
      <c r="H1" s="611"/>
      <c r="I1" s="612" t="s">
        <v>503</v>
      </c>
      <c r="J1" s="610"/>
      <c r="K1" s="610"/>
      <c r="L1" s="610"/>
      <c r="M1" s="611"/>
    </row>
    <row r="2" spans="1:13" ht="25.5" customHeight="1" x14ac:dyDescent="0.25">
      <c r="A2" s="607"/>
      <c r="B2" s="623"/>
      <c r="C2" s="129" t="s">
        <v>381</v>
      </c>
      <c r="D2" s="130" t="s">
        <v>691</v>
      </c>
      <c r="E2" s="131" t="s">
        <v>692</v>
      </c>
      <c r="F2" s="132" t="s">
        <v>384</v>
      </c>
      <c r="G2" s="133" t="s">
        <v>456</v>
      </c>
      <c r="H2" s="134" t="s">
        <v>386</v>
      </c>
      <c r="I2" s="135" t="s">
        <v>381</v>
      </c>
      <c r="J2" s="136" t="s">
        <v>384</v>
      </c>
      <c r="K2" s="137" t="s">
        <v>456</v>
      </c>
      <c r="L2" s="138" t="s">
        <v>386</v>
      </c>
      <c r="M2" s="139" t="s">
        <v>457</v>
      </c>
    </row>
    <row r="3" spans="1:13" ht="30" customHeight="1" x14ac:dyDescent="0.3">
      <c r="A3" s="706" t="s">
        <v>654</v>
      </c>
      <c r="B3" s="145" t="s">
        <v>693</v>
      </c>
      <c r="C3" s="194">
        <v>0</v>
      </c>
      <c r="D3" s="160">
        <v>0</v>
      </c>
      <c r="E3" s="194">
        <v>0</v>
      </c>
      <c r="F3" s="194">
        <f t="shared" ref="F3:F4" si="0">E3*D3</f>
        <v>0</v>
      </c>
      <c r="G3" s="194">
        <v>0</v>
      </c>
      <c r="H3" s="228">
        <f t="shared" ref="H3:H4" si="1">F3+G3-C3</f>
        <v>0</v>
      </c>
      <c r="I3" s="194">
        <f>SUMIFS('Cashbook ING'!$B:$B, 'Cashbook ING'!$A:$A, "Merch_Crewneck")</f>
        <v>0</v>
      </c>
      <c r="J3" s="194">
        <f>SUMIFS('Cashbook Wix'!B2:B7073,'Cashbook Wix'!A2:A7073,"MRCH_BoughtCrewneck")</f>
        <v>0</v>
      </c>
      <c r="K3" s="194">
        <v>0</v>
      </c>
      <c r="L3" s="228">
        <f t="shared" ref="L3:L4" si="2">J3+K3+I3</f>
        <v>0</v>
      </c>
      <c r="M3" s="145">
        <f t="shared" ref="M3:M4" si="3">L3-H3</f>
        <v>0</v>
      </c>
    </row>
    <row r="4" spans="1:13" ht="30" customHeight="1" x14ac:dyDescent="0.3">
      <c r="A4" s="627"/>
      <c r="B4" s="145" t="s">
        <v>694</v>
      </c>
      <c r="C4" s="194">
        <v>0</v>
      </c>
      <c r="D4" s="160">
        <v>0</v>
      </c>
      <c r="E4" s="194">
        <v>0</v>
      </c>
      <c r="F4" s="194">
        <f t="shared" si="0"/>
        <v>0</v>
      </c>
      <c r="G4" s="194">
        <v>0</v>
      </c>
      <c r="H4" s="228">
        <f t="shared" si="1"/>
        <v>0</v>
      </c>
      <c r="I4" s="194">
        <f>SUMIFS('Cashbook ING'!$B:$B, 'Cashbook ING'!$A:$A, "Merch_Hoodie")</f>
        <v>0</v>
      </c>
      <c r="J4" s="194">
        <f>SUMIFS('Cashbook Wix'!B2:B7073,'Cashbook Wix'!A2:A7073,"MRCH_BoughtHoodie")</f>
        <v>0</v>
      </c>
      <c r="K4" s="194">
        <v>0</v>
      </c>
      <c r="L4" s="228">
        <f t="shared" si="2"/>
        <v>0</v>
      </c>
      <c r="M4" s="228">
        <f t="shared" si="3"/>
        <v>0</v>
      </c>
    </row>
    <row r="5" spans="1:13" ht="30" customHeight="1" x14ac:dyDescent="0.3">
      <c r="A5" s="632"/>
      <c r="B5" s="560" t="s">
        <v>511</v>
      </c>
      <c r="C5" s="561">
        <f t="shared" ref="C5:D5" si="4">SUM(C3:C4)</f>
        <v>0</v>
      </c>
      <c r="D5" s="562">
        <f t="shared" si="4"/>
        <v>0</v>
      </c>
      <c r="E5" s="561">
        <v>0</v>
      </c>
      <c r="F5" s="567">
        <f t="shared" ref="F5:M5" si="5">SUM(F3:F4)</f>
        <v>0</v>
      </c>
      <c r="G5" s="567">
        <f t="shared" si="5"/>
        <v>0</v>
      </c>
      <c r="H5" s="568">
        <f t="shared" si="5"/>
        <v>0</v>
      </c>
      <c r="I5" s="561">
        <f t="shared" si="5"/>
        <v>0</v>
      </c>
      <c r="J5" s="561">
        <f t="shared" si="5"/>
        <v>0</v>
      </c>
      <c r="K5" s="561">
        <f t="shared" si="5"/>
        <v>0</v>
      </c>
      <c r="L5" s="560">
        <f t="shared" si="5"/>
        <v>0</v>
      </c>
      <c r="M5" s="560">
        <f t="shared" si="5"/>
        <v>0</v>
      </c>
    </row>
    <row r="6" spans="1:13" ht="14.25" customHeight="1" x14ac:dyDescent="0.2"/>
    <row r="7" spans="1:13" ht="14.25" customHeight="1" x14ac:dyDescent="0.2"/>
    <row r="8" spans="1:13" ht="14.25" customHeight="1" x14ac:dyDescent="0.2"/>
    <row r="9" spans="1:13" ht="14.25" customHeight="1" x14ac:dyDescent="0.2"/>
    <row r="10" spans="1:13" ht="14.25" customHeight="1" x14ac:dyDescent="0.2"/>
    <row r="11" spans="1:13" ht="14.25" customHeight="1" x14ac:dyDescent="0.2"/>
    <row r="12" spans="1:13" ht="14.25" customHeight="1" x14ac:dyDescent="0.2"/>
    <row r="13" spans="1:13" ht="14.25" customHeight="1" x14ac:dyDescent="0.2"/>
    <row r="14" spans="1:13" ht="14.25" customHeight="1" x14ac:dyDescent="0.2"/>
    <row r="15" spans="1:13" ht="14.25" customHeight="1" x14ac:dyDescent="0.2"/>
    <row r="16" spans="1:13"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5">
    <mergeCell ref="A1:A2"/>
    <mergeCell ref="B1:B2"/>
    <mergeCell ref="C1:H1"/>
    <mergeCell ref="I1:M1"/>
    <mergeCell ref="A3:A5"/>
  </mergeCells>
  <conditionalFormatting sqref="A1:C1 I1:M1 A2 H2 L2:M2">
    <cfRule type="cellIs" dxfId="2" priority="1" operator="lessThan">
      <formula>0</formula>
    </cfRule>
  </conditionalFormatting>
  <conditionalFormatting sqref="A3:M5">
    <cfRule type="cellIs" dxfId="1" priority="2" operator="lessThan">
      <formula>0</formula>
    </cfRule>
  </conditionalFormatting>
  <conditionalFormatting sqref="J5:L5">
    <cfRule type="cellIs" dxfId="0" priority="3" operator="lessThan">
      <formula>0</formula>
    </cfRule>
  </conditionalFormatting>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4BCC5"/>
  </sheetPr>
  <dimension ref="A1:D1000"/>
  <sheetViews>
    <sheetView zoomScale="67" workbookViewId="0">
      <pane ySplit="1" topLeftCell="A262" activePane="bottomLeft" state="frozen"/>
      <selection pane="bottomLeft" activeCell="A269" sqref="A269"/>
    </sheetView>
  </sheetViews>
  <sheetFormatPr baseColWidth="10" defaultColWidth="14.5" defaultRowHeight="15" customHeight="1" x14ac:dyDescent="0.2"/>
  <cols>
    <col min="1" max="1" width="57.6640625" customWidth="1"/>
    <col min="2" max="2" width="20.5" customWidth="1"/>
    <col min="3" max="3" width="25.6640625" customWidth="1"/>
    <col min="4" max="4" width="18.33203125" customWidth="1"/>
    <col min="5" max="26" width="10.83203125" customWidth="1"/>
  </cols>
  <sheetData>
    <row r="1" spans="1:2" ht="16.5" customHeight="1" x14ac:dyDescent="0.2">
      <c r="A1" s="55"/>
    </row>
    <row r="2" spans="1:2" ht="58.5" customHeight="1" x14ac:dyDescent="0.2">
      <c r="A2" s="56"/>
    </row>
    <row r="3" spans="1:2" ht="21.75" customHeight="1" x14ac:dyDescent="0.2">
      <c r="A3" s="57" t="s">
        <v>89</v>
      </c>
    </row>
    <row r="4" spans="1:2" ht="21.75" customHeight="1" x14ac:dyDescent="0.2">
      <c r="A4" s="57"/>
    </row>
    <row r="5" spans="1:2" ht="21.75" customHeight="1" x14ac:dyDescent="0.2">
      <c r="A5" s="57" t="s">
        <v>90</v>
      </c>
    </row>
    <row r="6" spans="1:2" ht="21.75" customHeight="1" x14ac:dyDescent="0.2">
      <c r="A6" s="57"/>
    </row>
    <row r="7" spans="1:2" ht="21.75" customHeight="1" x14ac:dyDescent="0.2">
      <c r="A7" s="57" t="s">
        <v>91</v>
      </c>
    </row>
    <row r="8" spans="1:2" ht="21.75" customHeight="1" x14ac:dyDescent="0.2">
      <c r="A8" s="57" t="s">
        <v>92</v>
      </c>
      <c r="B8" s="55"/>
    </row>
    <row r="9" spans="1:2" ht="21.75" customHeight="1" x14ac:dyDescent="0.2">
      <c r="A9" s="57" t="s">
        <v>93</v>
      </c>
      <c r="B9" s="55"/>
    </row>
    <row r="10" spans="1:2" ht="21.75" customHeight="1" x14ac:dyDescent="0.2">
      <c r="A10" s="57" t="s">
        <v>94</v>
      </c>
      <c r="B10" s="55"/>
    </row>
    <row r="11" spans="1:2" ht="21.75" customHeight="1" x14ac:dyDescent="0.2">
      <c r="A11" s="57" t="s">
        <v>95</v>
      </c>
      <c r="B11" s="55"/>
    </row>
    <row r="12" spans="1:2" ht="21.75" customHeight="1" x14ac:dyDescent="0.2">
      <c r="A12" s="57" t="s">
        <v>96</v>
      </c>
      <c r="B12" s="55"/>
    </row>
    <row r="13" spans="1:2" ht="21.75" customHeight="1" x14ac:dyDescent="0.2">
      <c r="A13" s="57" t="s">
        <v>97</v>
      </c>
      <c r="B13" s="55"/>
    </row>
    <row r="14" spans="1:2" ht="21.75" customHeight="1" x14ac:dyDescent="0.2">
      <c r="A14" s="57" t="s">
        <v>98</v>
      </c>
      <c r="B14" s="55"/>
    </row>
    <row r="15" spans="1:2" ht="21.75" customHeight="1" x14ac:dyDescent="0.2">
      <c r="A15" s="57" t="s">
        <v>99</v>
      </c>
      <c r="B15" s="55"/>
    </row>
    <row r="16" spans="1:2" ht="21.75" customHeight="1" x14ac:dyDescent="0.2">
      <c r="A16" s="57" t="s">
        <v>100</v>
      </c>
      <c r="B16" s="55"/>
    </row>
    <row r="17" spans="1:2" ht="21.75" customHeight="1" x14ac:dyDescent="0.2">
      <c r="A17" s="57" t="s">
        <v>101</v>
      </c>
      <c r="B17" s="55"/>
    </row>
    <row r="18" spans="1:2" ht="21.75" customHeight="1" x14ac:dyDescent="0.2">
      <c r="A18" s="57" t="s">
        <v>102</v>
      </c>
      <c r="B18" s="55"/>
    </row>
    <row r="19" spans="1:2" ht="21.75" customHeight="1" x14ac:dyDescent="0.2">
      <c r="A19" s="57" t="s">
        <v>103</v>
      </c>
      <c r="B19" s="55"/>
    </row>
    <row r="20" spans="1:2" ht="21.75" customHeight="1" x14ac:dyDescent="0.2">
      <c r="A20" s="57" t="s">
        <v>104</v>
      </c>
      <c r="B20" s="55"/>
    </row>
    <row r="21" spans="1:2" ht="21.75" customHeight="1" x14ac:dyDescent="0.2">
      <c r="A21" s="57" t="s">
        <v>105</v>
      </c>
      <c r="B21" s="55"/>
    </row>
    <row r="22" spans="1:2" ht="21.75" customHeight="1" x14ac:dyDescent="0.2">
      <c r="A22" s="57" t="s">
        <v>106</v>
      </c>
      <c r="B22" s="55"/>
    </row>
    <row r="23" spans="1:2" ht="21.75" customHeight="1" x14ac:dyDescent="0.2">
      <c r="A23" s="57" t="s">
        <v>107</v>
      </c>
      <c r="B23" s="55"/>
    </row>
    <row r="24" spans="1:2" ht="21.75" customHeight="1" x14ac:dyDescent="0.2">
      <c r="A24" s="57" t="s">
        <v>108</v>
      </c>
      <c r="B24" s="55"/>
    </row>
    <row r="25" spans="1:2" ht="21.75" customHeight="1" x14ac:dyDescent="0.2">
      <c r="A25" s="57" t="s">
        <v>109</v>
      </c>
      <c r="B25" s="55"/>
    </row>
    <row r="26" spans="1:2" ht="21.75" customHeight="1" x14ac:dyDescent="0.2">
      <c r="A26" s="57" t="s">
        <v>110</v>
      </c>
      <c r="B26" s="55"/>
    </row>
    <row r="27" spans="1:2" ht="21.75" customHeight="1" x14ac:dyDescent="0.2">
      <c r="A27" s="57" t="s">
        <v>111</v>
      </c>
      <c r="B27" s="55"/>
    </row>
    <row r="28" spans="1:2" ht="21.75" customHeight="1" x14ac:dyDescent="0.2">
      <c r="A28" s="57" t="s">
        <v>112</v>
      </c>
      <c r="B28" s="55"/>
    </row>
    <row r="29" spans="1:2" ht="21.75" customHeight="1" x14ac:dyDescent="0.2">
      <c r="A29" s="57" t="s">
        <v>113</v>
      </c>
      <c r="B29" s="55"/>
    </row>
    <row r="30" spans="1:2" ht="21.75" customHeight="1" x14ac:dyDescent="0.2">
      <c r="A30" s="57" t="s">
        <v>114</v>
      </c>
      <c r="B30" s="55"/>
    </row>
    <row r="31" spans="1:2" ht="21.75" customHeight="1" x14ac:dyDescent="0.2">
      <c r="A31" s="57" t="s">
        <v>115</v>
      </c>
      <c r="B31" s="55"/>
    </row>
    <row r="32" spans="1:2" ht="21.75" customHeight="1" x14ac:dyDescent="0.2">
      <c r="A32" s="57" t="s">
        <v>116</v>
      </c>
      <c r="B32" s="55"/>
    </row>
    <row r="33" spans="1:2" ht="21.75" customHeight="1" x14ac:dyDescent="0.2">
      <c r="A33" s="57" t="s">
        <v>117</v>
      </c>
      <c r="B33" s="55"/>
    </row>
    <row r="34" spans="1:2" ht="21.75" customHeight="1" x14ac:dyDescent="0.2">
      <c r="A34" s="57" t="s">
        <v>118</v>
      </c>
      <c r="B34" s="55"/>
    </row>
    <row r="35" spans="1:2" ht="21.75" customHeight="1" x14ac:dyDescent="0.2">
      <c r="A35" s="57" t="s">
        <v>119</v>
      </c>
      <c r="B35" s="55"/>
    </row>
    <row r="36" spans="1:2" ht="21.75" customHeight="1" x14ac:dyDescent="0.2">
      <c r="A36" s="57" t="s">
        <v>120</v>
      </c>
      <c r="B36" s="55"/>
    </row>
    <row r="37" spans="1:2" ht="21.75" customHeight="1" x14ac:dyDescent="0.2">
      <c r="A37" s="57" t="s">
        <v>121</v>
      </c>
      <c r="B37" s="55"/>
    </row>
    <row r="38" spans="1:2" ht="21.75" customHeight="1" x14ac:dyDescent="0.2">
      <c r="A38" s="57" t="s">
        <v>122</v>
      </c>
      <c r="B38" s="55"/>
    </row>
    <row r="39" spans="1:2" ht="21.75" customHeight="1" x14ac:dyDescent="0.2">
      <c r="A39" s="57" t="s">
        <v>123</v>
      </c>
      <c r="B39" s="55"/>
    </row>
    <row r="40" spans="1:2" ht="21.75" customHeight="1" x14ac:dyDescent="0.2">
      <c r="A40" s="57" t="s">
        <v>124</v>
      </c>
      <c r="B40" s="55"/>
    </row>
    <row r="41" spans="1:2" ht="21.75" customHeight="1" x14ac:dyDescent="0.2">
      <c r="A41" s="57"/>
      <c r="B41" s="55"/>
    </row>
    <row r="42" spans="1:2" ht="21.75" customHeight="1" x14ac:dyDescent="0.2">
      <c r="A42" s="57" t="s">
        <v>125</v>
      </c>
      <c r="B42" s="55"/>
    </row>
    <row r="43" spans="1:2" ht="21.75" customHeight="1" x14ac:dyDescent="0.2">
      <c r="A43" s="57" t="s">
        <v>126</v>
      </c>
      <c r="B43" s="55"/>
    </row>
    <row r="44" spans="1:2" ht="21.75" customHeight="1" x14ac:dyDescent="0.2">
      <c r="A44" s="58" t="s">
        <v>127</v>
      </c>
      <c r="B44" s="55"/>
    </row>
    <row r="45" spans="1:2" ht="21.75" customHeight="1" x14ac:dyDescent="0.2">
      <c r="A45" s="57" t="s">
        <v>128</v>
      </c>
      <c r="B45" s="55"/>
    </row>
    <row r="46" spans="1:2" ht="21.75" customHeight="1" x14ac:dyDescent="0.2">
      <c r="A46" s="57" t="s">
        <v>129</v>
      </c>
      <c r="B46" s="55"/>
    </row>
    <row r="47" spans="1:2" ht="21.75" customHeight="1" x14ac:dyDescent="0.2">
      <c r="A47" s="57" t="s">
        <v>130</v>
      </c>
      <c r="B47" s="55"/>
    </row>
    <row r="48" spans="1:2" ht="21.75" customHeight="1" x14ac:dyDescent="0.2">
      <c r="A48" s="57" t="s">
        <v>131</v>
      </c>
      <c r="B48" s="55"/>
    </row>
    <row r="49" spans="1:2" ht="21.75" customHeight="1" x14ac:dyDescent="0.2">
      <c r="A49" s="57" t="s">
        <v>132</v>
      </c>
      <c r="B49" s="55"/>
    </row>
    <row r="50" spans="1:2" ht="21.75" customHeight="1" x14ac:dyDescent="0.2">
      <c r="A50" s="57" t="s">
        <v>133</v>
      </c>
      <c r="B50" s="55"/>
    </row>
    <row r="51" spans="1:2" ht="21.75" customHeight="1" x14ac:dyDescent="0.2">
      <c r="A51" s="57" t="s">
        <v>134</v>
      </c>
      <c r="B51" s="55"/>
    </row>
    <row r="52" spans="1:2" ht="21.75" customHeight="1" x14ac:dyDescent="0.2">
      <c r="A52" s="57" t="s">
        <v>135</v>
      </c>
      <c r="B52" s="55"/>
    </row>
    <row r="53" spans="1:2" ht="21.75" customHeight="1" x14ac:dyDescent="0.2">
      <c r="A53" s="57" t="s">
        <v>136</v>
      </c>
      <c r="B53" s="55"/>
    </row>
    <row r="54" spans="1:2" ht="21.75" customHeight="1" x14ac:dyDescent="0.2">
      <c r="A54" s="57" t="s">
        <v>137</v>
      </c>
      <c r="B54" s="55"/>
    </row>
    <row r="55" spans="1:2" ht="21.75" customHeight="1" x14ac:dyDescent="0.2">
      <c r="A55" s="57" t="s">
        <v>138</v>
      </c>
      <c r="B55" s="55"/>
    </row>
    <row r="56" spans="1:2" ht="21.75" customHeight="1" x14ac:dyDescent="0.2">
      <c r="A56" s="57" t="s">
        <v>139</v>
      </c>
      <c r="B56" s="55"/>
    </row>
    <row r="57" spans="1:2" ht="21.75" customHeight="1" x14ac:dyDescent="0.2">
      <c r="A57" s="57" t="s">
        <v>140</v>
      </c>
      <c r="B57" s="55"/>
    </row>
    <row r="58" spans="1:2" ht="21.75" customHeight="1" x14ac:dyDescent="0.2">
      <c r="A58" s="57" t="s">
        <v>141</v>
      </c>
      <c r="B58" s="55"/>
    </row>
    <row r="59" spans="1:2" ht="21.75" customHeight="1" x14ac:dyDescent="0.2">
      <c r="A59" s="57" t="s">
        <v>142</v>
      </c>
      <c r="B59" s="55"/>
    </row>
    <row r="60" spans="1:2" ht="21.75" customHeight="1" x14ac:dyDescent="0.2">
      <c r="A60" s="57" t="s">
        <v>143</v>
      </c>
    </row>
    <row r="61" spans="1:2" ht="21.75" customHeight="1" x14ac:dyDescent="0.2">
      <c r="A61" s="57" t="s">
        <v>144</v>
      </c>
    </row>
    <row r="62" spans="1:2" ht="21.75" customHeight="1" x14ac:dyDescent="0.2">
      <c r="A62" s="57" t="s">
        <v>145</v>
      </c>
    </row>
    <row r="63" spans="1:2" ht="21.75" customHeight="1" x14ac:dyDescent="0.2">
      <c r="A63" s="57" t="s">
        <v>146</v>
      </c>
    </row>
    <row r="64" spans="1:2" ht="21.75" customHeight="1" x14ac:dyDescent="0.2">
      <c r="A64" s="57" t="s">
        <v>147</v>
      </c>
    </row>
    <row r="65" spans="1:4" ht="21.75" customHeight="1" x14ac:dyDescent="0.2">
      <c r="A65" s="57" t="s">
        <v>148</v>
      </c>
    </row>
    <row r="66" spans="1:4" ht="21.75" customHeight="1" x14ac:dyDescent="0.2">
      <c r="A66" s="57" t="s">
        <v>149</v>
      </c>
      <c r="D66" s="59"/>
    </row>
    <row r="67" spans="1:4" ht="21.75" customHeight="1" x14ac:dyDescent="0.2">
      <c r="A67" s="57" t="s">
        <v>150</v>
      </c>
      <c r="D67" s="59"/>
    </row>
    <row r="68" spans="1:4" ht="21.75" customHeight="1" x14ac:dyDescent="0.2">
      <c r="A68" s="57" t="s">
        <v>151</v>
      </c>
      <c r="D68" s="60"/>
    </row>
    <row r="69" spans="1:4" ht="21.75" customHeight="1" x14ac:dyDescent="0.2">
      <c r="A69" s="57"/>
      <c r="D69" s="60"/>
    </row>
    <row r="70" spans="1:4" ht="21.75" customHeight="1" x14ac:dyDescent="0.2">
      <c r="A70" s="57"/>
      <c r="D70" s="60"/>
    </row>
    <row r="71" spans="1:4" ht="21.75" customHeight="1" x14ac:dyDescent="0.2">
      <c r="A71" s="57" t="s">
        <v>152</v>
      </c>
      <c r="D71" s="60"/>
    </row>
    <row r="72" spans="1:4" ht="21.75" customHeight="1" x14ac:dyDescent="0.2">
      <c r="A72" s="57" t="s">
        <v>153</v>
      </c>
      <c r="D72" s="60"/>
    </row>
    <row r="73" spans="1:4" ht="21.75" customHeight="1" x14ac:dyDescent="0.2">
      <c r="A73" s="61" t="s">
        <v>154</v>
      </c>
    </row>
    <row r="74" spans="1:4" ht="21.75" customHeight="1" x14ac:dyDescent="0.2">
      <c r="A74" s="61" t="s">
        <v>155</v>
      </c>
    </row>
    <row r="75" spans="1:4" ht="21.75" customHeight="1" x14ac:dyDescent="0.2">
      <c r="A75" s="57" t="s">
        <v>156</v>
      </c>
      <c r="C75" s="62"/>
      <c r="D75" s="63"/>
    </row>
    <row r="76" spans="1:4" ht="21.75" customHeight="1" x14ac:dyDescent="0.2">
      <c r="A76" s="64" t="s">
        <v>157</v>
      </c>
      <c r="C76" s="62"/>
      <c r="D76" s="65"/>
    </row>
    <row r="77" spans="1:4" ht="21.75" customHeight="1" x14ac:dyDescent="0.2">
      <c r="A77" s="64" t="s">
        <v>158</v>
      </c>
      <c r="C77" s="62"/>
      <c r="D77" s="65"/>
    </row>
    <row r="78" spans="1:4" ht="21.75" customHeight="1" x14ac:dyDescent="0.2">
      <c r="A78" s="64" t="s">
        <v>158</v>
      </c>
      <c r="C78" s="62"/>
      <c r="D78" s="65"/>
    </row>
    <row r="79" spans="1:4" ht="21.75" customHeight="1" x14ac:dyDescent="0.2">
      <c r="A79" s="66" t="s">
        <v>158</v>
      </c>
      <c r="C79" s="62"/>
      <c r="D79" s="65"/>
    </row>
    <row r="80" spans="1:4" ht="21.75" customHeight="1" x14ac:dyDescent="0.2">
      <c r="A80" s="66"/>
      <c r="C80" s="62"/>
      <c r="D80" s="65"/>
    </row>
    <row r="81" spans="1:4" ht="21.75" customHeight="1" x14ac:dyDescent="0.2">
      <c r="A81" s="57" t="s">
        <v>159</v>
      </c>
      <c r="C81" s="62"/>
      <c r="D81" s="65"/>
    </row>
    <row r="82" spans="1:4" ht="21.75" customHeight="1" x14ac:dyDescent="0.2">
      <c r="A82" s="64" t="s">
        <v>160</v>
      </c>
      <c r="C82" s="62"/>
      <c r="D82" s="65"/>
    </row>
    <row r="83" spans="1:4" ht="21.75" customHeight="1" x14ac:dyDescent="0.2">
      <c r="A83" s="67" t="s">
        <v>161</v>
      </c>
      <c r="C83" s="62"/>
      <c r="D83" s="65"/>
    </row>
    <row r="84" spans="1:4" ht="21.75" customHeight="1" x14ac:dyDescent="0.2">
      <c r="A84" s="67" t="s">
        <v>162</v>
      </c>
      <c r="C84" s="62"/>
      <c r="D84" s="65"/>
    </row>
    <row r="85" spans="1:4" ht="21.75" customHeight="1" x14ac:dyDescent="0.2">
      <c r="A85" s="67" t="s">
        <v>163</v>
      </c>
      <c r="C85" s="62"/>
      <c r="D85" s="65"/>
    </row>
    <row r="86" spans="1:4" ht="21.75" customHeight="1" x14ac:dyDescent="0.2">
      <c r="A86" s="67" t="s">
        <v>164</v>
      </c>
      <c r="C86" s="62"/>
      <c r="D86" s="65"/>
    </row>
    <row r="87" spans="1:4" ht="21.75" customHeight="1" x14ac:dyDescent="0.2">
      <c r="A87" s="67" t="s">
        <v>165</v>
      </c>
      <c r="C87" s="62"/>
      <c r="D87" s="65"/>
    </row>
    <row r="88" spans="1:4" ht="21.75" customHeight="1" x14ac:dyDescent="0.2">
      <c r="A88" s="67" t="s">
        <v>166</v>
      </c>
      <c r="C88" s="62"/>
      <c r="D88" s="65"/>
    </row>
    <row r="89" spans="1:4" ht="21.75" customHeight="1" x14ac:dyDescent="0.2">
      <c r="A89" s="67" t="s">
        <v>167</v>
      </c>
      <c r="C89" s="62"/>
      <c r="D89" s="65"/>
    </row>
    <row r="90" spans="1:4" ht="21.75" customHeight="1" x14ac:dyDescent="0.2">
      <c r="A90" s="67" t="s">
        <v>168</v>
      </c>
      <c r="C90" s="62"/>
      <c r="D90" s="65"/>
    </row>
    <row r="91" spans="1:4" ht="21.75" customHeight="1" x14ac:dyDescent="0.2">
      <c r="A91" s="67" t="s">
        <v>169</v>
      </c>
      <c r="C91" s="62"/>
      <c r="D91" s="65"/>
    </row>
    <row r="92" spans="1:4" ht="21.75" customHeight="1" x14ac:dyDescent="0.2">
      <c r="A92" s="67" t="s">
        <v>170</v>
      </c>
      <c r="C92" s="62"/>
      <c r="D92" s="65"/>
    </row>
    <row r="93" spans="1:4" ht="21.75" customHeight="1" x14ac:dyDescent="0.2">
      <c r="A93" s="67" t="s">
        <v>171</v>
      </c>
      <c r="C93" s="65"/>
    </row>
    <row r="94" spans="1:4" ht="21.75" customHeight="1" x14ac:dyDescent="0.2">
      <c r="A94" s="67" t="s">
        <v>172</v>
      </c>
      <c r="C94" s="65"/>
    </row>
    <row r="95" spans="1:4" ht="21.75" customHeight="1" x14ac:dyDescent="0.2">
      <c r="A95" s="67" t="s">
        <v>173</v>
      </c>
      <c r="D95" s="65"/>
    </row>
    <row r="96" spans="1:4" ht="21.75" customHeight="1" x14ac:dyDescent="0.2">
      <c r="A96" s="67" t="s">
        <v>174</v>
      </c>
      <c r="D96" s="63"/>
    </row>
    <row r="97" spans="1:3" ht="21.75" customHeight="1" x14ac:dyDescent="0.2">
      <c r="A97" s="67" t="s">
        <v>175</v>
      </c>
      <c r="C97" s="65"/>
    </row>
    <row r="98" spans="1:3" ht="21.75" customHeight="1" x14ac:dyDescent="0.2">
      <c r="A98" s="67" t="s">
        <v>176</v>
      </c>
      <c r="C98" s="65"/>
    </row>
    <row r="99" spans="1:3" ht="21.75" customHeight="1" x14ac:dyDescent="0.2">
      <c r="A99" s="67" t="s">
        <v>177</v>
      </c>
      <c r="C99" s="65"/>
    </row>
    <row r="100" spans="1:3" ht="21.75" customHeight="1" x14ac:dyDescent="0.2">
      <c r="A100" s="67" t="s">
        <v>177</v>
      </c>
      <c r="C100" s="65"/>
    </row>
    <row r="101" spans="1:3" ht="21.75" customHeight="1" x14ac:dyDescent="0.2">
      <c r="A101" s="67"/>
      <c r="C101" s="65"/>
    </row>
    <row r="102" spans="1:3" ht="21.75" customHeight="1" x14ac:dyDescent="0.2">
      <c r="A102" s="67"/>
      <c r="C102" s="65"/>
    </row>
    <row r="103" spans="1:3" ht="21.75" customHeight="1" x14ac:dyDescent="0.2">
      <c r="A103" s="68" t="s">
        <v>178</v>
      </c>
      <c r="C103" s="65"/>
    </row>
    <row r="104" spans="1:3" ht="21.75" customHeight="1" x14ac:dyDescent="0.2">
      <c r="A104" s="68" t="s">
        <v>179</v>
      </c>
      <c r="C104" s="65"/>
    </row>
    <row r="105" spans="1:3" ht="21.75" customHeight="1" x14ac:dyDescent="0.2">
      <c r="A105" s="68" t="s">
        <v>180</v>
      </c>
      <c r="C105" s="65"/>
    </row>
    <row r="106" spans="1:3" ht="21.75" customHeight="1" x14ac:dyDescent="0.2">
      <c r="A106" s="68" t="s">
        <v>181</v>
      </c>
      <c r="C106" s="65"/>
    </row>
    <row r="107" spans="1:3" ht="21.75" customHeight="1" x14ac:dyDescent="0.2">
      <c r="A107" s="68" t="s">
        <v>182</v>
      </c>
      <c r="C107" s="65"/>
    </row>
    <row r="108" spans="1:3" ht="21.75" customHeight="1" x14ac:dyDescent="0.2">
      <c r="A108" s="68" t="s">
        <v>183</v>
      </c>
      <c r="C108" s="69"/>
    </row>
    <row r="109" spans="1:3" ht="21.75" customHeight="1" x14ac:dyDescent="0.2">
      <c r="A109" s="68" t="s">
        <v>184</v>
      </c>
      <c r="C109" s="65"/>
    </row>
    <row r="110" spans="1:3" ht="21.75" customHeight="1" x14ac:dyDescent="0.2">
      <c r="A110" s="68" t="s">
        <v>185</v>
      </c>
      <c r="C110" s="65"/>
    </row>
    <row r="111" spans="1:3" ht="21.75" customHeight="1" x14ac:dyDescent="0.2">
      <c r="A111" s="68" t="s">
        <v>186</v>
      </c>
      <c r="C111" s="65"/>
    </row>
    <row r="112" spans="1:3" ht="21.75" customHeight="1" x14ac:dyDescent="0.2">
      <c r="A112" s="68" t="s">
        <v>187</v>
      </c>
      <c r="C112" s="65"/>
    </row>
    <row r="113" spans="1:3" ht="21.75" customHeight="1" x14ac:dyDescent="0.2">
      <c r="A113" s="68" t="s">
        <v>188</v>
      </c>
      <c r="C113" s="65"/>
    </row>
    <row r="114" spans="1:3" ht="21.75" customHeight="1" x14ac:dyDescent="0.2">
      <c r="A114" s="68" t="s">
        <v>189</v>
      </c>
      <c r="C114" s="65"/>
    </row>
    <row r="115" spans="1:3" ht="21.75" customHeight="1" x14ac:dyDescent="0.2">
      <c r="A115" s="68" t="s">
        <v>190</v>
      </c>
      <c r="C115" s="65"/>
    </row>
    <row r="116" spans="1:3" ht="21.75" customHeight="1" x14ac:dyDescent="0.2">
      <c r="A116" s="68" t="s">
        <v>191</v>
      </c>
      <c r="C116" s="65"/>
    </row>
    <row r="117" spans="1:3" ht="21.75" customHeight="1" x14ac:dyDescent="0.2">
      <c r="A117" s="68" t="s">
        <v>192</v>
      </c>
      <c r="C117" s="65"/>
    </row>
    <row r="118" spans="1:3" ht="21.75" customHeight="1" x14ac:dyDescent="0.2">
      <c r="A118" s="68" t="s">
        <v>193</v>
      </c>
      <c r="C118" s="65"/>
    </row>
    <row r="119" spans="1:3" ht="21.75" customHeight="1" x14ac:dyDescent="0.2">
      <c r="A119" s="68"/>
      <c r="C119" s="65"/>
    </row>
    <row r="120" spans="1:3" ht="21.75" customHeight="1" x14ac:dyDescent="0.2">
      <c r="A120" s="68"/>
      <c r="C120" s="65"/>
    </row>
    <row r="121" spans="1:3" ht="21.75" customHeight="1" x14ac:dyDescent="0.2">
      <c r="A121" s="70"/>
    </row>
    <row r="122" spans="1:3" ht="21.75" customHeight="1" x14ac:dyDescent="0.2">
      <c r="A122" s="70"/>
    </row>
    <row r="123" spans="1:3" ht="21.75" customHeight="1" x14ac:dyDescent="0.2">
      <c r="A123" s="70"/>
    </row>
    <row r="124" spans="1:3" ht="21.75" customHeight="1" x14ac:dyDescent="0.2">
      <c r="A124" s="70"/>
    </row>
    <row r="125" spans="1:3" ht="21.75" customHeight="1" x14ac:dyDescent="0.2">
      <c r="A125" s="57"/>
    </row>
    <row r="126" spans="1:3" ht="21.75" customHeight="1" x14ac:dyDescent="0.2">
      <c r="A126" s="57"/>
    </row>
    <row r="127" spans="1:3" ht="21.75" customHeight="1" x14ac:dyDescent="0.2">
      <c r="A127" s="57"/>
    </row>
    <row r="128" spans="1:3" ht="21.75" customHeight="1" x14ac:dyDescent="0.2">
      <c r="A128" s="57"/>
    </row>
    <row r="129" spans="1:1" ht="21.75" customHeight="1" x14ac:dyDescent="0.2">
      <c r="A129" s="57"/>
    </row>
    <row r="130" spans="1:1" ht="21.75" customHeight="1" x14ac:dyDescent="0.2">
      <c r="A130" s="61" t="s">
        <v>194</v>
      </c>
    </row>
    <row r="131" spans="1:1" ht="21.75" customHeight="1" x14ac:dyDescent="0.2">
      <c r="A131" s="61" t="s">
        <v>195</v>
      </c>
    </row>
    <row r="132" spans="1:1" ht="21.75" customHeight="1" x14ac:dyDescent="0.2">
      <c r="A132" s="61" t="s">
        <v>196</v>
      </c>
    </row>
    <row r="133" spans="1:1" ht="21.75" customHeight="1" x14ac:dyDescent="0.2">
      <c r="A133" s="61" t="s">
        <v>197</v>
      </c>
    </row>
    <row r="134" spans="1:1" ht="21.75" customHeight="1" x14ac:dyDescent="0.2">
      <c r="A134" s="61" t="s">
        <v>198</v>
      </c>
    </row>
    <row r="135" spans="1:1" ht="21.75" customHeight="1" x14ac:dyDescent="0.2">
      <c r="A135" s="61" t="s">
        <v>199</v>
      </c>
    </row>
    <row r="136" spans="1:1" ht="21.75" customHeight="1" x14ac:dyDescent="0.2">
      <c r="A136" s="61" t="s">
        <v>200</v>
      </c>
    </row>
    <row r="137" spans="1:1" ht="21.75" customHeight="1" x14ac:dyDescent="0.2">
      <c r="A137" s="57" t="s">
        <v>201</v>
      </c>
    </row>
    <row r="138" spans="1:1" ht="21.75" customHeight="1" x14ac:dyDescent="0.2">
      <c r="A138" s="57" t="s">
        <v>202</v>
      </c>
    </row>
    <row r="139" spans="1:1" ht="21.75" customHeight="1" x14ac:dyDescent="0.2">
      <c r="A139" s="61" t="s">
        <v>203</v>
      </c>
    </row>
    <row r="140" spans="1:1" ht="21.75" customHeight="1" x14ac:dyDescent="0.2">
      <c r="A140" s="61" t="s">
        <v>204</v>
      </c>
    </row>
    <row r="141" spans="1:1" ht="21.75" customHeight="1" x14ac:dyDescent="0.2">
      <c r="A141" s="61" t="s">
        <v>205</v>
      </c>
    </row>
    <row r="142" spans="1:1" ht="21.75" customHeight="1" x14ac:dyDescent="0.2">
      <c r="A142" s="61" t="s">
        <v>206</v>
      </c>
    </row>
    <row r="143" spans="1:1" ht="21.75" customHeight="1" x14ac:dyDescent="0.2">
      <c r="A143" s="61" t="s">
        <v>207</v>
      </c>
    </row>
    <row r="144" spans="1:1" ht="21.75" customHeight="1" x14ac:dyDescent="0.2">
      <c r="A144" s="61" t="s">
        <v>208</v>
      </c>
    </row>
    <row r="145" spans="1:1" ht="21.75" customHeight="1" x14ac:dyDescent="0.2">
      <c r="A145" s="61" t="s">
        <v>209</v>
      </c>
    </row>
    <row r="146" spans="1:1" ht="21.75" customHeight="1" x14ac:dyDescent="0.2">
      <c r="A146" s="61" t="s">
        <v>210</v>
      </c>
    </row>
    <row r="147" spans="1:1" ht="21.75" customHeight="1" x14ac:dyDescent="0.2">
      <c r="A147" s="61" t="s">
        <v>211</v>
      </c>
    </row>
    <row r="148" spans="1:1" ht="21.75" customHeight="1" x14ac:dyDescent="0.2">
      <c r="A148" s="61" t="s">
        <v>212</v>
      </c>
    </row>
    <row r="149" spans="1:1" ht="21.75" customHeight="1" x14ac:dyDescent="0.2">
      <c r="A149" s="61" t="s">
        <v>213</v>
      </c>
    </row>
    <row r="150" spans="1:1" ht="21.75" customHeight="1" x14ac:dyDescent="0.2">
      <c r="A150" s="61" t="s">
        <v>214</v>
      </c>
    </row>
    <row r="151" spans="1:1" ht="21.75" customHeight="1" x14ac:dyDescent="0.2">
      <c r="A151" s="61" t="s">
        <v>215</v>
      </c>
    </row>
    <row r="152" spans="1:1" ht="21.75" customHeight="1" x14ac:dyDescent="0.2">
      <c r="A152" s="61" t="s">
        <v>216</v>
      </c>
    </row>
    <row r="153" spans="1:1" ht="21.75" customHeight="1" x14ac:dyDescent="0.2">
      <c r="A153" s="61" t="s">
        <v>217</v>
      </c>
    </row>
    <row r="154" spans="1:1" ht="21.75" customHeight="1" x14ac:dyDescent="0.2">
      <c r="A154" s="61" t="s">
        <v>218</v>
      </c>
    </row>
    <row r="155" spans="1:1" ht="21.75" customHeight="1" x14ac:dyDescent="0.2">
      <c r="A155" s="61" t="s">
        <v>219</v>
      </c>
    </row>
    <row r="156" spans="1:1" ht="21.75" customHeight="1" x14ac:dyDescent="0.2">
      <c r="A156" s="61" t="s">
        <v>220</v>
      </c>
    </row>
    <row r="157" spans="1:1" ht="21.75" customHeight="1" x14ac:dyDescent="0.2">
      <c r="A157" s="61" t="s">
        <v>221</v>
      </c>
    </row>
    <row r="158" spans="1:1" ht="21.75" customHeight="1" x14ac:dyDescent="0.2">
      <c r="A158" s="61" t="s">
        <v>221</v>
      </c>
    </row>
    <row r="159" spans="1:1" ht="21.75" customHeight="1" x14ac:dyDescent="0.2">
      <c r="A159" s="61" t="s">
        <v>222</v>
      </c>
    </row>
    <row r="160" spans="1:1" ht="21.75" customHeight="1" x14ac:dyDescent="0.2">
      <c r="A160" s="61" t="s">
        <v>223</v>
      </c>
    </row>
    <row r="161" spans="1:1" ht="21.75" customHeight="1" x14ac:dyDescent="0.2">
      <c r="A161" s="61"/>
    </row>
    <row r="162" spans="1:1" ht="21.75" customHeight="1" x14ac:dyDescent="0.2">
      <c r="A162" s="61"/>
    </row>
    <row r="163" spans="1:1" ht="21.75" customHeight="1" x14ac:dyDescent="0.2">
      <c r="A163" s="61" t="s">
        <v>224</v>
      </c>
    </row>
    <row r="164" spans="1:1" ht="21.75" customHeight="1" x14ac:dyDescent="0.2">
      <c r="A164" s="61" t="s">
        <v>225</v>
      </c>
    </row>
    <row r="165" spans="1:1" ht="21.75" customHeight="1" x14ac:dyDescent="0.2">
      <c r="A165" s="61" t="s">
        <v>226</v>
      </c>
    </row>
    <row r="166" spans="1:1" ht="21.75" customHeight="1" x14ac:dyDescent="0.2">
      <c r="A166" s="61" t="s">
        <v>227</v>
      </c>
    </row>
    <row r="167" spans="1:1" ht="21.75" customHeight="1" x14ac:dyDescent="0.2">
      <c r="A167" s="61" t="s">
        <v>228</v>
      </c>
    </row>
    <row r="168" spans="1:1" ht="21.75" customHeight="1" x14ac:dyDescent="0.2">
      <c r="A168" s="61" t="s">
        <v>229</v>
      </c>
    </row>
    <row r="169" spans="1:1" ht="21.75" customHeight="1" x14ac:dyDescent="0.2">
      <c r="A169" s="61" t="s">
        <v>230</v>
      </c>
    </row>
    <row r="170" spans="1:1" ht="21.75" customHeight="1" x14ac:dyDescent="0.2">
      <c r="A170" s="61" t="s">
        <v>231</v>
      </c>
    </row>
    <row r="171" spans="1:1" ht="21.75" customHeight="1" x14ac:dyDescent="0.2">
      <c r="A171" s="61" t="s">
        <v>232</v>
      </c>
    </row>
    <row r="172" spans="1:1" ht="21.75" customHeight="1" x14ac:dyDescent="0.2">
      <c r="A172" s="61" t="s">
        <v>233</v>
      </c>
    </row>
    <row r="173" spans="1:1" ht="21.75" customHeight="1" x14ac:dyDescent="0.2">
      <c r="A173" s="61" t="s">
        <v>234</v>
      </c>
    </row>
    <row r="174" spans="1:1" ht="21.75" customHeight="1" x14ac:dyDescent="0.2">
      <c r="A174" s="61" t="s">
        <v>235</v>
      </c>
    </row>
    <row r="175" spans="1:1" ht="21.75" customHeight="1" x14ac:dyDescent="0.2">
      <c r="A175" s="61" t="s">
        <v>236</v>
      </c>
    </row>
    <row r="176" spans="1:1" ht="21.75" customHeight="1" x14ac:dyDescent="0.2">
      <c r="A176" s="61" t="s">
        <v>237</v>
      </c>
    </row>
    <row r="177" spans="1:1" ht="21.75" customHeight="1" x14ac:dyDescent="0.2">
      <c r="A177" s="61" t="s">
        <v>238</v>
      </c>
    </row>
    <row r="178" spans="1:1" ht="21.75" customHeight="1" x14ac:dyDescent="0.2">
      <c r="A178" s="61" t="s">
        <v>239</v>
      </c>
    </row>
    <row r="179" spans="1:1" ht="21.75" customHeight="1" x14ac:dyDescent="0.2">
      <c r="A179" s="61" t="s">
        <v>240</v>
      </c>
    </row>
    <row r="180" spans="1:1" ht="21.75" customHeight="1" x14ac:dyDescent="0.2">
      <c r="A180" s="61" t="s">
        <v>241</v>
      </c>
    </row>
    <row r="181" spans="1:1" ht="21.75" customHeight="1" x14ac:dyDescent="0.2">
      <c r="A181" s="61" t="s">
        <v>242</v>
      </c>
    </row>
    <row r="182" spans="1:1" ht="21.75" customHeight="1" x14ac:dyDescent="0.2">
      <c r="A182" s="61" t="s">
        <v>243</v>
      </c>
    </row>
    <row r="183" spans="1:1" ht="21.75" customHeight="1" x14ac:dyDescent="0.2">
      <c r="A183" s="61" t="s">
        <v>244</v>
      </c>
    </row>
    <row r="184" spans="1:1" ht="21.75" customHeight="1" x14ac:dyDescent="0.2">
      <c r="A184" s="61" t="s">
        <v>245</v>
      </c>
    </row>
    <row r="185" spans="1:1" ht="21.75" customHeight="1" x14ac:dyDescent="0.2">
      <c r="A185" s="61" t="s">
        <v>246</v>
      </c>
    </row>
    <row r="186" spans="1:1" ht="21.75" customHeight="1" x14ac:dyDescent="0.2">
      <c r="A186" s="61" t="s">
        <v>247</v>
      </c>
    </row>
    <row r="187" spans="1:1" ht="21.75" customHeight="1" x14ac:dyDescent="0.2">
      <c r="A187" s="61" t="s">
        <v>248</v>
      </c>
    </row>
    <row r="188" spans="1:1" ht="21.75" customHeight="1" x14ac:dyDescent="0.2">
      <c r="A188" s="61" t="s">
        <v>249</v>
      </c>
    </row>
    <row r="189" spans="1:1" ht="21.75" customHeight="1" x14ac:dyDescent="0.2">
      <c r="A189" s="61" t="s">
        <v>250</v>
      </c>
    </row>
    <row r="190" spans="1:1" ht="16.5" customHeight="1" x14ac:dyDescent="0.2">
      <c r="A190" s="61"/>
    </row>
    <row r="191" spans="1:1" ht="16.5" customHeight="1" x14ac:dyDescent="0.2">
      <c r="A191" s="61" t="s">
        <v>251</v>
      </c>
    </row>
    <row r="192" spans="1:1" ht="16.5" customHeight="1" x14ac:dyDescent="0.2">
      <c r="A192" s="61" t="s">
        <v>252</v>
      </c>
    </row>
    <row r="193" spans="1:1" ht="16.5" customHeight="1" x14ac:dyDescent="0.2">
      <c r="A193" s="61" t="s">
        <v>253</v>
      </c>
    </row>
    <row r="194" spans="1:1" ht="16.5" customHeight="1" x14ac:dyDescent="0.2">
      <c r="A194" s="61" t="s">
        <v>254</v>
      </c>
    </row>
    <row r="195" spans="1:1" ht="16.5" customHeight="1" x14ac:dyDescent="0.2">
      <c r="A195" s="61" t="s">
        <v>255</v>
      </c>
    </row>
    <row r="196" spans="1:1" ht="16.5" customHeight="1" x14ac:dyDescent="0.2">
      <c r="A196" s="61" t="s">
        <v>256</v>
      </c>
    </row>
    <row r="197" spans="1:1" ht="16.5" customHeight="1" x14ac:dyDescent="0.2">
      <c r="A197" s="61" t="s">
        <v>257</v>
      </c>
    </row>
    <row r="198" spans="1:1" ht="16.5" customHeight="1" x14ac:dyDescent="0.2">
      <c r="A198" s="61" t="s">
        <v>258</v>
      </c>
    </row>
    <row r="199" spans="1:1" ht="16.5" customHeight="1" x14ac:dyDescent="0.2">
      <c r="A199" s="61" t="s">
        <v>259</v>
      </c>
    </row>
    <row r="200" spans="1:1" ht="16.5" customHeight="1" x14ac:dyDescent="0.2">
      <c r="A200" s="61" t="s">
        <v>260</v>
      </c>
    </row>
    <row r="201" spans="1:1" ht="16.5" customHeight="1" x14ac:dyDescent="0.2">
      <c r="A201" s="61" t="s">
        <v>261</v>
      </c>
    </row>
    <row r="202" spans="1:1" ht="16.5" customHeight="1" x14ac:dyDescent="0.2">
      <c r="A202" s="61" t="s">
        <v>262</v>
      </c>
    </row>
    <row r="203" spans="1:1" ht="16.5" customHeight="1" x14ac:dyDescent="0.2">
      <c r="A203" s="61" t="s">
        <v>263</v>
      </c>
    </row>
    <row r="204" spans="1:1" ht="16.5" customHeight="1" x14ac:dyDescent="0.2">
      <c r="A204" s="61" t="s">
        <v>264</v>
      </c>
    </row>
    <row r="205" spans="1:1" ht="16.5" customHeight="1" x14ac:dyDescent="0.2">
      <c r="A205" s="61" t="s">
        <v>265</v>
      </c>
    </row>
    <row r="206" spans="1:1" ht="16.5" customHeight="1" x14ac:dyDescent="0.2">
      <c r="A206" s="61" t="s">
        <v>266</v>
      </c>
    </row>
    <row r="207" spans="1:1" ht="16.5" customHeight="1" x14ac:dyDescent="0.2">
      <c r="A207" s="61" t="s">
        <v>267</v>
      </c>
    </row>
    <row r="208" spans="1:1" ht="16.5" customHeight="1" x14ac:dyDescent="0.2">
      <c r="A208" s="61" t="s">
        <v>268</v>
      </c>
    </row>
    <row r="209" spans="1:1" ht="16.5" customHeight="1" x14ac:dyDescent="0.2">
      <c r="A209" s="61"/>
    </row>
    <row r="210" spans="1:1" ht="16.5" customHeight="1" x14ac:dyDescent="0.2">
      <c r="A210" s="61" t="s">
        <v>269</v>
      </c>
    </row>
    <row r="211" spans="1:1" ht="16.5" customHeight="1" x14ac:dyDescent="0.2">
      <c r="A211" s="61" t="s">
        <v>270</v>
      </c>
    </row>
    <row r="212" spans="1:1" ht="16.5" customHeight="1" x14ac:dyDescent="0.2">
      <c r="A212" s="61" t="s">
        <v>271</v>
      </c>
    </row>
    <row r="213" spans="1:1" ht="16.5" customHeight="1" x14ac:dyDescent="0.2">
      <c r="A213" s="61"/>
    </row>
    <row r="214" spans="1:1" ht="16.5" customHeight="1" x14ac:dyDescent="0.2">
      <c r="A214" s="61"/>
    </row>
    <row r="215" spans="1:1" ht="16.5" customHeight="1" x14ac:dyDescent="0.2">
      <c r="A215" s="71" t="s">
        <v>272</v>
      </c>
    </row>
    <row r="216" spans="1:1" ht="16.5" customHeight="1" x14ac:dyDescent="0.2">
      <c r="A216" s="71" t="s">
        <v>273</v>
      </c>
    </row>
    <row r="217" spans="1:1" ht="16.5" customHeight="1" x14ac:dyDescent="0.2">
      <c r="A217" s="66" t="s">
        <v>274</v>
      </c>
    </row>
    <row r="218" spans="1:1" ht="16.5" customHeight="1" x14ac:dyDescent="0.2">
      <c r="A218" s="66" t="s">
        <v>275</v>
      </c>
    </row>
    <row r="219" spans="1:1" ht="16.5" customHeight="1" x14ac:dyDescent="0.2">
      <c r="A219" s="71"/>
    </row>
    <row r="220" spans="1:1" ht="16.5" customHeight="1" x14ac:dyDescent="0.2">
      <c r="A220" s="71" t="s">
        <v>276</v>
      </c>
    </row>
    <row r="221" spans="1:1" ht="16.5" customHeight="1" x14ac:dyDescent="0.2">
      <c r="A221" s="71" t="s">
        <v>277</v>
      </c>
    </row>
    <row r="222" spans="1:1" ht="16.5" customHeight="1" x14ac:dyDescent="0.2">
      <c r="A222" s="71" t="s">
        <v>278</v>
      </c>
    </row>
    <row r="223" spans="1:1" ht="16.5" customHeight="1" x14ac:dyDescent="0.2">
      <c r="A223" s="71" t="s">
        <v>279</v>
      </c>
    </row>
    <row r="224" spans="1:1" ht="16.5" customHeight="1" x14ac:dyDescent="0.2">
      <c r="A224" s="71" t="s">
        <v>280</v>
      </c>
    </row>
    <row r="225" spans="1:1" ht="16.5" customHeight="1" x14ac:dyDescent="0.2">
      <c r="A225" s="61" t="s">
        <v>281</v>
      </c>
    </row>
    <row r="226" spans="1:1" ht="16.5" customHeight="1" x14ac:dyDescent="0.2">
      <c r="A226" s="61" t="s">
        <v>282</v>
      </c>
    </row>
    <row r="227" spans="1:1" ht="16.5" customHeight="1" x14ac:dyDescent="0.2">
      <c r="A227" s="61" t="s">
        <v>283</v>
      </c>
    </row>
    <row r="228" spans="1:1" ht="16.5" customHeight="1" x14ac:dyDescent="0.2">
      <c r="A228" s="72" t="s">
        <v>284</v>
      </c>
    </row>
    <row r="229" spans="1:1" ht="16.5" customHeight="1" x14ac:dyDescent="0.2">
      <c r="A229" s="72"/>
    </row>
    <row r="230" spans="1:1" ht="16.5" customHeight="1" x14ac:dyDescent="0.2">
      <c r="A230" s="72" t="s">
        <v>285</v>
      </c>
    </row>
    <row r="231" spans="1:1" ht="16.5" customHeight="1" x14ac:dyDescent="0.2">
      <c r="A231" s="57" t="s">
        <v>286</v>
      </c>
    </row>
    <row r="232" spans="1:1" ht="16.5" customHeight="1" x14ac:dyDescent="0.2">
      <c r="A232" s="72" t="s">
        <v>287</v>
      </c>
    </row>
    <row r="233" spans="1:1" ht="16.5" customHeight="1" x14ac:dyDescent="0.2">
      <c r="A233" s="58" t="s">
        <v>288</v>
      </c>
    </row>
    <row r="234" spans="1:1" ht="16.5" customHeight="1" x14ac:dyDescent="0.2">
      <c r="A234" s="58" t="s">
        <v>289</v>
      </c>
    </row>
    <row r="235" spans="1:1" ht="16.5" customHeight="1" x14ac:dyDescent="0.2">
      <c r="A235" s="72" t="s">
        <v>290</v>
      </c>
    </row>
    <row r="236" spans="1:1" ht="16.5" customHeight="1" x14ac:dyDescent="0.2">
      <c r="A236" s="72" t="s">
        <v>291</v>
      </c>
    </row>
    <row r="237" spans="1:1" ht="16.5" customHeight="1" x14ac:dyDescent="0.2">
      <c r="A237" s="72" t="s">
        <v>292</v>
      </c>
    </row>
    <row r="238" spans="1:1" ht="16.5" customHeight="1" x14ac:dyDescent="0.2">
      <c r="A238" s="72" t="s">
        <v>293</v>
      </c>
    </row>
    <row r="239" spans="1:1" ht="16.5" customHeight="1" x14ac:dyDescent="0.2">
      <c r="A239" s="72" t="s">
        <v>294</v>
      </c>
    </row>
    <row r="240" spans="1:1" ht="16.5" customHeight="1" x14ac:dyDescent="0.2">
      <c r="A240" s="72" t="s">
        <v>295</v>
      </c>
    </row>
    <row r="241" spans="1:1" ht="16.5" customHeight="1" x14ac:dyDescent="0.2">
      <c r="A241" s="57"/>
    </row>
    <row r="242" spans="1:1" ht="16.5" customHeight="1" x14ac:dyDescent="0.2">
      <c r="A242" s="57" t="s">
        <v>296</v>
      </c>
    </row>
    <row r="243" spans="1:1" ht="16.5" customHeight="1" x14ac:dyDescent="0.2">
      <c r="A243" s="57" t="s">
        <v>297</v>
      </c>
    </row>
    <row r="244" spans="1:1" ht="16.5" customHeight="1" x14ac:dyDescent="0.2">
      <c r="A244" s="57"/>
    </row>
    <row r="245" spans="1:1" ht="16.5" customHeight="1" x14ac:dyDescent="0.2">
      <c r="A245" s="57" t="s">
        <v>298</v>
      </c>
    </row>
    <row r="246" spans="1:1" ht="16.5" customHeight="1" x14ac:dyDescent="0.2">
      <c r="A246" s="57" t="s">
        <v>299</v>
      </c>
    </row>
    <row r="247" spans="1:1" ht="16.5" customHeight="1" x14ac:dyDescent="0.2">
      <c r="A247" s="57" t="s">
        <v>300</v>
      </c>
    </row>
    <row r="248" spans="1:1" ht="16.5" customHeight="1" x14ac:dyDescent="0.2">
      <c r="A248" s="57" t="s">
        <v>301</v>
      </c>
    </row>
    <row r="249" spans="1:1" ht="16.5" customHeight="1" x14ac:dyDescent="0.2">
      <c r="A249" s="57"/>
    </row>
    <row r="250" spans="1:1" ht="16.5" customHeight="1" x14ac:dyDescent="0.2">
      <c r="A250" s="57" t="s">
        <v>302</v>
      </c>
    </row>
    <row r="251" spans="1:1" ht="16.5" customHeight="1" x14ac:dyDescent="0.2">
      <c r="A251" s="57"/>
    </row>
    <row r="252" spans="1:1" ht="16.5" customHeight="1" x14ac:dyDescent="0.2">
      <c r="A252" s="57" t="s">
        <v>303</v>
      </c>
    </row>
    <row r="253" spans="1:1" ht="16.5" customHeight="1" x14ac:dyDescent="0.2">
      <c r="A253" s="57" t="s">
        <v>304</v>
      </c>
    </row>
    <row r="254" spans="1:1" ht="16.5" customHeight="1" x14ac:dyDescent="0.2">
      <c r="A254" s="73"/>
    </row>
    <row r="255" spans="1:1" ht="16.5" customHeight="1" x14ac:dyDescent="0.2">
      <c r="A255" s="70" t="s">
        <v>305</v>
      </c>
    </row>
    <row r="256" spans="1:1" ht="16.5" customHeight="1" x14ac:dyDescent="0.2">
      <c r="A256" s="70" t="s">
        <v>305</v>
      </c>
    </row>
    <row r="257" spans="1:1" ht="16.5" customHeight="1" x14ac:dyDescent="0.2">
      <c r="A257" s="70" t="s">
        <v>305</v>
      </c>
    </row>
    <row r="258" spans="1:1" ht="16.5" customHeight="1" x14ac:dyDescent="0.2">
      <c r="A258" s="73" t="s">
        <v>305</v>
      </c>
    </row>
    <row r="259" spans="1:1" ht="16.5" customHeight="1" x14ac:dyDescent="0.2">
      <c r="A259" s="73" t="s">
        <v>305</v>
      </c>
    </row>
    <row r="260" spans="1:1" ht="16.5" customHeight="1" x14ac:dyDescent="0.2">
      <c r="A260" s="73" t="s">
        <v>305</v>
      </c>
    </row>
    <row r="261" spans="1:1" ht="16.5" customHeight="1" x14ac:dyDescent="0.2">
      <c r="A261" s="73" t="s">
        <v>305</v>
      </c>
    </row>
    <row r="262" spans="1:1" ht="16.5" customHeight="1" x14ac:dyDescent="0.2">
      <c r="A262" s="73"/>
    </row>
    <row r="263" spans="1:1" ht="16.5" customHeight="1" x14ac:dyDescent="0.2">
      <c r="A263" s="73" t="s">
        <v>306</v>
      </c>
    </row>
    <row r="264" spans="1:1" ht="16.5" customHeight="1" x14ac:dyDescent="0.2">
      <c r="A264" s="57" t="s">
        <v>307</v>
      </c>
    </row>
    <row r="265" spans="1:1" ht="16.5" customHeight="1" x14ac:dyDescent="0.2">
      <c r="A265" s="57" t="s">
        <v>308</v>
      </c>
    </row>
    <row r="266" spans="1:1" ht="16.5" customHeight="1" x14ac:dyDescent="0.2">
      <c r="A266" s="55"/>
    </row>
    <row r="267" spans="1:1" ht="16.5" customHeight="1" x14ac:dyDescent="0.2">
      <c r="A267" s="57" t="s">
        <v>309</v>
      </c>
    </row>
    <row r="268" spans="1:1" ht="16.5" customHeight="1" x14ac:dyDescent="0.2">
      <c r="A268" s="57"/>
    </row>
    <row r="269" spans="1:1" ht="16.5" customHeight="1" x14ac:dyDescent="0.2">
      <c r="A269" s="57" t="s">
        <v>310</v>
      </c>
    </row>
    <row r="270" spans="1:1" ht="16.5" customHeight="1" x14ac:dyDescent="0.2">
      <c r="A270" s="57" t="s">
        <v>311</v>
      </c>
    </row>
    <row r="271" spans="1:1" ht="16.5" customHeight="1" x14ac:dyDescent="0.2">
      <c r="A271" s="57" t="s">
        <v>312</v>
      </c>
    </row>
    <row r="272" spans="1:1" ht="16.5" customHeight="1" x14ac:dyDescent="0.2">
      <c r="A272" s="57" t="s">
        <v>313</v>
      </c>
    </row>
    <row r="273" spans="1:1" ht="16.5" customHeight="1" x14ac:dyDescent="0.2">
      <c r="A273" s="57" t="s">
        <v>314</v>
      </c>
    </row>
    <row r="274" spans="1:1" ht="16.5" customHeight="1" x14ac:dyDescent="0.2">
      <c r="A274" s="57" t="s">
        <v>315</v>
      </c>
    </row>
    <row r="275" spans="1:1" ht="16.5" customHeight="1" x14ac:dyDescent="0.2">
      <c r="A275" s="57" t="s">
        <v>316</v>
      </c>
    </row>
    <row r="276" spans="1:1" ht="16.5" customHeight="1" x14ac:dyDescent="0.2">
      <c r="A276" s="57"/>
    </row>
    <row r="277" spans="1:1" ht="16.5" customHeight="1" x14ac:dyDescent="0.2">
      <c r="A277" s="57" t="s">
        <v>317</v>
      </c>
    </row>
    <row r="278" spans="1:1" ht="16.5" customHeight="1" x14ac:dyDescent="0.2">
      <c r="A278" s="57"/>
    </row>
    <row r="279" spans="1:1" ht="16.5" customHeight="1" x14ac:dyDescent="0.2">
      <c r="A279" s="57"/>
    </row>
    <row r="280" spans="1:1" ht="16.5" customHeight="1" x14ac:dyDescent="0.2">
      <c r="A280" s="57"/>
    </row>
    <row r="281" spans="1:1" ht="16.5" customHeight="1" x14ac:dyDescent="0.2">
      <c r="A281" s="57"/>
    </row>
    <row r="282" spans="1:1" ht="16.5" customHeight="1" x14ac:dyDescent="0.2">
      <c r="A282" s="57"/>
    </row>
    <row r="283" spans="1:1" ht="16.5" customHeight="1" x14ac:dyDescent="0.2">
      <c r="A283" s="57"/>
    </row>
    <row r="284" spans="1:1" ht="16.5" customHeight="1" x14ac:dyDescent="0.2">
      <c r="A284" s="57"/>
    </row>
    <row r="285" spans="1:1" ht="16.5" customHeight="1" x14ac:dyDescent="0.2">
      <c r="A285" s="57"/>
    </row>
    <row r="286" spans="1:1" ht="16.5" customHeight="1" x14ac:dyDescent="0.2">
      <c r="A286" s="57"/>
    </row>
    <row r="287" spans="1:1" ht="16.5" customHeight="1" x14ac:dyDescent="0.2">
      <c r="A287" s="57"/>
    </row>
    <row r="288" spans="1:1" ht="16.5" customHeight="1" x14ac:dyDescent="0.2">
      <c r="A288" s="57"/>
    </row>
    <row r="289" spans="1:1" ht="16.5" customHeight="1" x14ac:dyDescent="0.2">
      <c r="A289" s="57"/>
    </row>
    <row r="290" spans="1:1" ht="16.5" customHeight="1" x14ac:dyDescent="0.2">
      <c r="A290" s="57"/>
    </row>
    <row r="291" spans="1:1" ht="16.5" customHeight="1" x14ac:dyDescent="0.2">
      <c r="A291" s="57"/>
    </row>
    <row r="292" spans="1:1" ht="16.5" customHeight="1" x14ac:dyDescent="0.2">
      <c r="A292" s="57"/>
    </row>
    <row r="293" spans="1:1" ht="16.5" customHeight="1" x14ac:dyDescent="0.2">
      <c r="A293" s="57"/>
    </row>
    <row r="294" spans="1:1" ht="16.5" customHeight="1" x14ac:dyDescent="0.2">
      <c r="A294" s="55"/>
    </row>
    <row r="295" spans="1:1" ht="16.5" customHeight="1" x14ac:dyDescent="0.2">
      <c r="A295" s="57" t="s">
        <v>318</v>
      </c>
    </row>
    <row r="296" spans="1:1" ht="16.5" customHeight="1" x14ac:dyDescent="0.2">
      <c r="A296" s="57" t="s">
        <v>319</v>
      </c>
    </row>
    <row r="297" spans="1:1" ht="16.5" customHeight="1" x14ac:dyDescent="0.2">
      <c r="A297" s="57" t="s">
        <v>320</v>
      </c>
    </row>
    <row r="298" spans="1:1" ht="16.5" customHeight="1" x14ac:dyDescent="0.2">
      <c r="A298" s="57" t="s">
        <v>321</v>
      </c>
    </row>
    <row r="299" spans="1:1" ht="16.5" customHeight="1" x14ac:dyDescent="0.2">
      <c r="A299" s="57"/>
    </row>
    <row r="300" spans="1:1" ht="16.5" customHeight="1" x14ac:dyDescent="0.2">
      <c r="A300" s="55" t="s">
        <v>322</v>
      </c>
    </row>
    <row r="301" spans="1:1" ht="16.5" customHeight="1" x14ac:dyDescent="0.2">
      <c r="A301" s="55" t="s">
        <v>323</v>
      </c>
    </row>
    <row r="302" spans="1:1" ht="16.5" customHeight="1" x14ac:dyDescent="0.2">
      <c r="A302" s="55"/>
    </row>
    <row r="303" spans="1:1" ht="16.5" customHeight="1" x14ac:dyDescent="0.2">
      <c r="A303" s="74" t="s">
        <v>324</v>
      </c>
    </row>
    <row r="304" spans="1:1" ht="16.5" customHeight="1" x14ac:dyDescent="0.2">
      <c r="A304" s="74" t="s">
        <v>325</v>
      </c>
    </row>
    <row r="305" spans="1:1" ht="16.5" customHeight="1" x14ac:dyDescent="0.2">
      <c r="A305" s="74" t="s">
        <v>326</v>
      </c>
    </row>
    <row r="306" spans="1:1" ht="16.5" customHeight="1" x14ac:dyDescent="0.2">
      <c r="A306" s="74" t="s">
        <v>327</v>
      </c>
    </row>
    <row r="307" spans="1:1" ht="16.5" customHeight="1" x14ac:dyDescent="0.2">
      <c r="A307" s="55" t="s">
        <v>328</v>
      </c>
    </row>
    <row r="308" spans="1:1" ht="16.5" customHeight="1" x14ac:dyDescent="0.2">
      <c r="A308" s="55" t="s">
        <v>329</v>
      </c>
    </row>
    <row r="309" spans="1:1" ht="16.5" customHeight="1" x14ac:dyDescent="0.2">
      <c r="A309" s="55"/>
    </row>
    <row r="310" spans="1:1" ht="16.5" customHeight="1" x14ac:dyDescent="0.2">
      <c r="A310" s="55"/>
    </row>
    <row r="311" spans="1:1" ht="16.5" customHeight="1" x14ac:dyDescent="0.2">
      <c r="A311" s="55"/>
    </row>
    <row r="312" spans="1:1" ht="16.5" customHeight="1" x14ac:dyDescent="0.2">
      <c r="A312" s="55"/>
    </row>
    <row r="313" spans="1:1" ht="16.5" customHeight="1" x14ac:dyDescent="0.2">
      <c r="A313" s="55"/>
    </row>
    <row r="314" spans="1:1" ht="16.5" customHeight="1" x14ac:dyDescent="0.2">
      <c r="A314" s="55"/>
    </row>
    <row r="315" spans="1:1" ht="16.5" customHeight="1" x14ac:dyDescent="0.2">
      <c r="A315" s="55"/>
    </row>
    <row r="316" spans="1:1" ht="16.5" customHeight="1" x14ac:dyDescent="0.2">
      <c r="A316" s="55"/>
    </row>
    <row r="317" spans="1:1" ht="16.5" customHeight="1" x14ac:dyDescent="0.2">
      <c r="A317" s="55"/>
    </row>
    <row r="318" spans="1:1" ht="16.5" customHeight="1" x14ac:dyDescent="0.2">
      <c r="A318" s="55"/>
    </row>
    <row r="319" spans="1:1" ht="16.5" customHeight="1" x14ac:dyDescent="0.2">
      <c r="A319" s="55"/>
    </row>
    <row r="320" spans="1:1" ht="16.5" customHeight="1" x14ac:dyDescent="0.2">
      <c r="A320" s="55"/>
    </row>
    <row r="321" spans="1:1" ht="16.5" customHeight="1" x14ac:dyDescent="0.2">
      <c r="A321" s="55"/>
    </row>
    <row r="322" spans="1:1" ht="16.5" customHeight="1" x14ac:dyDescent="0.2">
      <c r="A322" s="55"/>
    </row>
    <row r="323" spans="1:1" ht="16.5" customHeight="1" x14ac:dyDescent="0.2">
      <c r="A323" s="55"/>
    </row>
    <row r="324" spans="1:1" ht="16.5" customHeight="1" x14ac:dyDescent="0.2">
      <c r="A324" s="55"/>
    </row>
    <row r="325" spans="1:1" ht="16.5" customHeight="1" x14ac:dyDescent="0.2">
      <c r="A325" s="55"/>
    </row>
    <row r="326" spans="1:1" ht="16.5" customHeight="1" x14ac:dyDescent="0.2">
      <c r="A326" s="55"/>
    </row>
    <row r="327" spans="1:1" ht="16.5" customHeight="1" x14ac:dyDescent="0.2">
      <c r="A327" s="55"/>
    </row>
    <row r="328" spans="1:1" ht="16.5" customHeight="1" x14ac:dyDescent="0.2">
      <c r="A328" s="55"/>
    </row>
    <row r="329" spans="1:1" ht="16.5" customHeight="1" x14ac:dyDescent="0.2">
      <c r="A329" s="55"/>
    </row>
    <row r="330" spans="1:1" ht="16.5" customHeight="1" x14ac:dyDescent="0.2">
      <c r="A330" s="55"/>
    </row>
    <row r="331" spans="1:1" ht="16.5" customHeight="1" x14ac:dyDescent="0.2">
      <c r="A331" s="55"/>
    </row>
    <row r="332" spans="1:1" ht="16.5" customHeight="1" x14ac:dyDescent="0.2">
      <c r="A332" s="55"/>
    </row>
    <row r="333" spans="1:1" ht="16.5" customHeight="1" x14ac:dyDescent="0.2">
      <c r="A333" s="55"/>
    </row>
    <row r="334" spans="1:1" ht="16.5" customHeight="1" x14ac:dyDescent="0.2">
      <c r="A334" s="55"/>
    </row>
    <row r="335" spans="1:1" ht="16.5" customHeight="1" x14ac:dyDescent="0.2">
      <c r="A335" s="55"/>
    </row>
    <row r="336" spans="1:1" ht="16.5" customHeight="1" x14ac:dyDescent="0.2">
      <c r="A336" s="55"/>
    </row>
    <row r="337" spans="1:1" ht="16.5" customHeight="1" x14ac:dyDescent="0.2">
      <c r="A337" s="55"/>
    </row>
    <row r="338" spans="1:1" ht="16.5" customHeight="1" x14ac:dyDescent="0.2">
      <c r="A338" s="55"/>
    </row>
    <row r="339" spans="1:1" ht="16.5" customHeight="1" x14ac:dyDescent="0.2">
      <c r="A339" s="55"/>
    </row>
    <row r="340" spans="1:1" ht="16.5" customHeight="1" x14ac:dyDescent="0.2">
      <c r="A340" s="55"/>
    </row>
    <row r="341" spans="1:1" ht="16.5" customHeight="1" x14ac:dyDescent="0.2">
      <c r="A341" s="55"/>
    </row>
    <row r="342" spans="1:1" ht="16.5" customHeight="1" x14ac:dyDescent="0.2">
      <c r="A342" s="55"/>
    </row>
    <row r="343" spans="1:1" ht="16.5" customHeight="1" x14ac:dyDescent="0.2">
      <c r="A343" s="55"/>
    </row>
    <row r="344" spans="1:1" ht="16.5" customHeight="1" x14ac:dyDescent="0.2">
      <c r="A344" s="55"/>
    </row>
    <row r="345" spans="1:1" ht="16.5" customHeight="1" x14ac:dyDescent="0.2">
      <c r="A345" s="55"/>
    </row>
    <row r="346" spans="1:1" ht="16.5" customHeight="1" x14ac:dyDescent="0.2">
      <c r="A346" s="55"/>
    </row>
    <row r="347" spans="1:1" ht="16.5" customHeight="1" x14ac:dyDescent="0.2">
      <c r="A347" s="55"/>
    </row>
    <row r="348" spans="1:1" ht="16.5" customHeight="1" x14ac:dyDescent="0.2">
      <c r="A348" s="55"/>
    </row>
    <row r="349" spans="1:1" ht="16.5" customHeight="1" x14ac:dyDescent="0.2">
      <c r="A349" s="55"/>
    </row>
    <row r="350" spans="1:1" ht="16.5" customHeight="1" x14ac:dyDescent="0.2">
      <c r="A350" s="55"/>
    </row>
    <row r="351" spans="1:1" ht="16.5" customHeight="1" x14ac:dyDescent="0.2">
      <c r="A351" s="55"/>
    </row>
    <row r="352" spans="1:1" ht="16.5" customHeight="1" x14ac:dyDescent="0.2">
      <c r="A352" s="55"/>
    </row>
    <row r="353" spans="1:1" ht="16.5" customHeight="1" x14ac:dyDescent="0.2">
      <c r="A353" s="55"/>
    </row>
    <row r="354" spans="1:1" ht="16.5" customHeight="1" x14ac:dyDescent="0.2">
      <c r="A354" s="55"/>
    </row>
    <row r="355" spans="1:1" ht="16.5" customHeight="1" x14ac:dyDescent="0.2">
      <c r="A355" s="55"/>
    </row>
    <row r="356" spans="1:1" ht="16.5" customHeight="1" x14ac:dyDescent="0.2">
      <c r="A356" s="55"/>
    </row>
    <row r="357" spans="1:1" ht="16.5" customHeight="1" x14ac:dyDescent="0.2">
      <c r="A357" s="55"/>
    </row>
    <row r="358" spans="1:1" ht="16.5" customHeight="1" x14ac:dyDescent="0.2">
      <c r="A358" s="55"/>
    </row>
    <row r="359" spans="1:1" ht="16.5" customHeight="1" x14ac:dyDescent="0.2">
      <c r="A359" s="55"/>
    </row>
    <row r="360" spans="1:1" ht="16.5" customHeight="1" x14ac:dyDescent="0.2">
      <c r="A360" s="55"/>
    </row>
    <row r="361" spans="1:1" ht="16.5" customHeight="1" x14ac:dyDescent="0.2">
      <c r="A361" s="55"/>
    </row>
    <row r="362" spans="1:1" ht="16.5" customHeight="1" x14ac:dyDescent="0.2">
      <c r="A362" s="55"/>
    </row>
    <row r="363" spans="1:1" ht="16.5" customHeight="1" x14ac:dyDescent="0.2">
      <c r="A363" s="55"/>
    </row>
    <row r="364" spans="1:1" ht="16.5" customHeight="1" x14ac:dyDescent="0.2">
      <c r="A364" s="55"/>
    </row>
    <row r="365" spans="1:1" ht="16.5" customHeight="1" x14ac:dyDescent="0.2">
      <c r="A365" s="55"/>
    </row>
    <row r="366" spans="1:1" ht="16.5" customHeight="1" x14ac:dyDescent="0.2">
      <c r="A366" s="55"/>
    </row>
    <row r="367" spans="1:1" ht="16.5" customHeight="1" x14ac:dyDescent="0.2">
      <c r="A367" s="55"/>
    </row>
    <row r="368" spans="1:1" ht="16.5" customHeight="1" x14ac:dyDescent="0.2">
      <c r="A368" s="55"/>
    </row>
    <row r="369" spans="1:1" ht="16.5" customHeight="1" x14ac:dyDescent="0.2">
      <c r="A369" s="55"/>
    </row>
    <row r="370" spans="1:1" ht="16.5" customHeight="1" x14ac:dyDescent="0.2">
      <c r="A370" s="55"/>
    </row>
    <row r="371" spans="1:1" ht="16.5" customHeight="1" x14ac:dyDescent="0.2">
      <c r="A371" s="55"/>
    </row>
    <row r="372" spans="1:1" ht="16.5" customHeight="1" x14ac:dyDescent="0.2">
      <c r="A372" s="55"/>
    </row>
    <row r="373" spans="1:1" ht="16.5" customHeight="1" x14ac:dyDescent="0.2">
      <c r="A373" s="55"/>
    </row>
    <row r="374" spans="1:1" ht="16.5" customHeight="1" x14ac:dyDescent="0.2">
      <c r="A374" s="55"/>
    </row>
    <row r="375" spans="1:1" ht="16.5" customHeight="1" x14ac:dyDescent="0.2">
      <c r="A375" s="55"/>
    </row>
    <row r="376" spans="1:1" ht="16.5" customHeight="1" x14ac:dyDescent="0.2">
      <c r="A376" s="55"/>
    </row>
    <row r="377" spans="1:1" ht="16.5" customHeight="1" x14ac:dyDescent="0.2">
      <c r="A377" s="55"/>
    </row>
    <row r="378" spans="1:1" ht="16.5" customHeight="1" x14ac:dyDescent="0.2">
      <c r="A378" s="55"/>
    </row>
    <row r="379" spans="1:1" ht="16.5" customHeight="1" x14ac:dyDescent="0.2">
      <c r="A379" s="55"/>
    </row>
    <row r="380" spans="1:1" ht="16.5" customHeight="1" x14ac:dyDescent="0.2">
      <c r="A380" s="55"/>
    </row>
    <row r="381" spans="1:1" ht="16.5" customHeight="1" x14ac:dyDescent="0.2">
      <c r="A381" s="55"/>
    </row>
    <row r="382" spans="1:1" ht="16.5" customHeight="1" x14ac:dyDescent="0.2">
      <c r="A382" s="55"/>
    </row>
    <row r="383" spans="1:1" ht="16.5" customHeight="1" x14ac:dyDescent="0.2">
      <c r="A383" s="55"/>
    </row>
    <row r="384" spans="1:1" ht="16.5" customHeight="1" x14ac:dyDescent="0.2">
      <c r="A384" s="55"/>
    </row>
    <row r="385" spans="1:1" ht="16.5" customHeight="1" x14ac:dyDescent="0.2">
      <c r="A385" s="55"/>
    </row>
    <row r="386" spans="1:1" ht="16.5" customHeight="1" x14ac:dyDescent="0.2">
      <c r="A386" s="55"/>
    </row>
    <row r="387" spans="1:1" ht="16.5" customHeight="1" x14ac:dyDescent="0.2">
      <c r="A387" s="55"/>
    </row>
    <row r="388" spans="1:1" ht="16.5" customHeight="1" x14ac:dyDescent="0.2">
      <c r="A388" s="55"/>
    </row>
    <row r="389" spans="1:1" ht="16.5" customHeight="1" x14ac:dyDescent="0.2">
      <c r="A389" s="55"/>
    </row>
    <row r="390" spans="1:1" ht="16.5" customHeight="1" x14ac:dyDescent="0.2">
      <c r="A390" s="55"/>
    </row>
    <row r="391" spans="1:1" ht="16.5" customHeight="1" x14ac:dyDescent="0.2">
      <c r="A391" s="55"/>
    </row>
    <row r="392" spans="1:1" ht="16.5" customHeight="1" x14ac:dyDescent="0.2">
      <c r="A392" s="55"/>
    </row>
    <row r="393" spans="1:1" ht="16.5" customHeight="1" x14ac:dyDescent="0.2">
      <c r="A393" s="55"/>
    </row>
    <row r="394" spans="1:1" ht="16.5" customHeight="1" x14ac:dyDescent="0.2">
      <c r="A394" s="55"/>
    </row>
    <row r="395" spans="1:1" ht="16.5" customHeight="1" x14ac:dyDescent="0.2">
      <c r="A395" s="55"/>
    </row>
    <row r="396" spans="1:1" ht="16.5" customHeight="1" x14ac:dyDescent="0.2">
      <c r="A396" s="55"/>
    </row>
    <row r="397" spans="1:1" ht="16.5" customHeight="1" x14ac:dyDescent="0.2">
      <c r="A397" s="55"/>
    </row>
    <row r="398" spans="1:1" ht="16.5" customHeight="1" x14ac:dyDescent="0.2">
      <c r="A398" s="55"/>
    </row>
    <row r="399" spans="1:1" ht="16.5" customHeight="1" x14ac:dyDescent="0.2">
      <c r="A399" s="55"/>
    </row>
    <row r="400" spans="1:1" ht="16.5" customHeight="1" x14ac:dyDescent="0.2">
      <c r="A400" s="55"/>
    </row>
    <row r="401" spans="1:1" ht="16.5" customHeight="1" x14ac:dyDescent="0.2">
      <c r="A401" s="55"/>
    </row>
    <row r="402" spans="1:1" ht="16.5" customHeight="1" x14ac:dyDescent="0.2">
      <c r="A402" s="55"/>
    </row>
    <row r="403" spans="1:1" ht="16.5" customHeight="1" x14ac:dyDescent="0.2">
      <c r="A403" s="55"/>
    </row>
    <row r="404" spans="1:1" ht="16.5" customHeight="1" x14ac:dyDescent="0.2">
      <c r="A404" s="55"/>
    </row>
    <row r="405" spans="1:1" ht="16.5" customHeight="1" x14ac:dyDescent="0.2">
      <c r="A405" s="55"/>
    </row>
    <row r="406" spans="1:1" ht="16.5" customHeight="1" x14ac:dyDescent="0.2">
      <c r="A406" s="55"/>
    </row>
    <row r="407" spans="1:1" ht="16.5" customHeight="1" x14ac:dyDescent="0.2">
      <c r="A407" s="55"/>
    </row>
    <row r="408" spans="1:1" ht="16.5" customHeight="1" x14ac:dyDescent="0.2">
      <c r="A408" s="55"/>
    </row>
    <row r="409" spans="1:1" ht="16.5" customHeight="1" x14ac:dyDescent="0.2">
      <c r="A409" s="55"/>
    </row>
    <row r="410" spans="1:1" ht="16.5" customHeight="1" x14ac:dyDescent="0.2">
      <c r="A410" s="55"/>
    </row>
    <row r="411" spans="1:1" ht="16.5" customHeight="1" x14ac:dyDescent="0.2">
      <c r="A411" s="55"/>
    </row>
    <row r="412" spans="1:1" ht="16.5" customHeight="1" x14ac:dyDescent="0.2">
      <c r="A412" s="55"/>
    </row>
    <row r="413" spans="1:1" ht="16.5" customHeight="1" x14ac:dyDescent="0.2">
      <c r="A413" s="55"/>
    </row>
    <row r="414" spans="1:1" ht="16.5" customHeight="1" x14ac:dyDescent="0.2">
      <c r="A414" s="55"/>
    </row>
    <row r="415" spans="1:1" ht="16.5" customHeight="1" x14ac:dyDescent="0.2">
      <c r="A415" s="55"/>
    </row>
    <row r="416" spans="1:1" ht="16.5" customHeight="1" x14ac:dyDescent="0.2">
      <c r="A416" s="55"/>
    </row>
    <row r="417" spans="1:1" ht="16.5" customHeight="1" x14ac:dyDescent="0.2">
      <c r="A417" s="55"/>
    </row>
    <row r="418" spans="1:1" ht="16.5" customHeight="1" x14ac:dyDescent="0.2">
      <c r="A418" s="55"/>
    </row>
    <row r="419" spans="1:1" ht="16.5" customHeight="1" x14ac:dyDescent="0.2">
      <c r="A419" s="55"/>
    </row>
    <row r="420" spans="1:1" ht="16.5" customHeight="1" x14ac:dyDescent="0.2">
      <c r="A420" s="55"/>
    </row>
    <row r="421" spans="1:1" ht="16.5" customHeight="1" x14ac:dyDescent="0.2">
      <c r="A421" s="55"/>
    </row>
    <row r="422" spans="1:1" ht="16.5" customHeight="1" x14ac:dyDescent="0.2">
      <c r="A422" s="55"/>
    </row>
    <row r="423" spans="1:1" ht="16.5" customHeight="1" x14ac:dyDescent="0.2">
      <c r="A423" s="55"/>
    </row>
    <row r="424" spans="1:1" ht="16.5" customHeight="1" x14ac:dyDescent="0.2">
      <c r="A424" s="55"/>
    </row>
    <row r="425" spans="1:1" ht="16.5" customHeight="1" x14ac:dyDescent="0.2">
      <c r="A425" s="55"/>
    </row>
    <row r="426" spans="1:1" ht="16.5" customHeight="1" x14ac:dyDescent="0.2">
      <c r="A426" s="55"/>
    </row>
    <row r="427" spans="1:1" ht="16.5" customHeight="1" x14ac:dyDescent="0.2">
      <c r="A427" s="55"/>
    </row>
    <row r="428" spans="1:1" ht="16.5" customHeight="1" x14ac:dyDescent="0.2">
      <c r="A428" s="55"/>
    </row>
    <row r="429" spans="1:1" ht="16.5" customHeight="1" x14ac:dyDescent="0.2">
      <c r="A429" s="55"/>
    </row>
    <row r="430" spans="1:1" ht="16.5" customHeight="1" x14ac:dyDescent="0.2">
      <c r="A430" s="55"/>
    </row>
    <row r="431" spans="1:1" ht="16.5" customHeight="1" x14ac:dyDescent="0.2">
      <c r="A431" s="55"/>
    </row>
    <row r="432" spans="1:1" ht="16.5" customHeight="1" x14ac:dyDescent="0.2">
      <c r="A432" s="55"/>
    </row>
    <row r="433" spans="1:1" ht="16.5" customHeight="1" x14ac:dyDescent="0.2">
      <c r="A433" s="55"/>
    </row>
    <row r="434" spans="1:1" ht="16.5" customHeight="1" x14ac:dyDescent="0.2">
      <c r="A434" s="55"/>
    </row>
    <row r="435" spans="1:1" ht="16.5" customHeight="1" x14ac:dyDescent="0.2">
      <c r="A435" s="55"/>
    </row>
    <row r="436" spans="1:1" ht="16.5" customHeight="1" x14ac:dyDescent="0.2">
      <c r="A436" s="55"/>
    </row>
    <row r="437" spans="1:1" ht="16.5" customHeight="1" x14ac:dyDescent="0.2">
      <c r="A437" s="55"/>
    </row>
    <row r="438" spans="1:1" ht="16.5" customHeight="1" x14ac:dyDescent="0.2">
      <c r="A438" s="55"/>
    </row>
    <row r="439" spans="1:1" ht="16.5" customHeight="1" x14ac:dyDescent="0.2">
      <c r="A439" s="55"/>
    </row>
    <row r="440" spans="1:1" ht="16.5" customHeight="1" x14ac:dyDescent="0.2">
      <c r="A440" s="55"/>
    </row>
    <row r="441" spans="1:1" ht="16.5" customHeight="1" x14ac:dyDescent="0.2">
      <c r="A441" s="55"/>
    </row>
    <row r="442" spans="1:1" ht="16.5" customHeight="1" x14ac:dyDescent="0.2">
      <c r="A442" s="55"/>
    </row>
    <row r="443" spans="1:1" ht="16.5" customHeight="1" x14ac:dyDescent="0.2">
      <c r="A443" s="55"/>
    </row>
    <row r="444" spans="1:1" ht="16.5" customHeight="1" x14ac:dyDescent="0.2">
      <c r="A444" s="55"/>
    </row>
    <row r="445" spans="1:1" ht="16.5" customHeight="1" x14ac:dyDescent="0.2">
      <c r="A445" s="55"/>
    </row>
    <row r="446" spans="1:1" ht="16.5" customHeight="1" x14ac:dyDescent="0.2">
      <c r="A446" s="55"/>
    </row>
    <row r="447" spans="1:1" ht="16.5" customHeight="1" x14ac:dyDescent="0.2">
      <c r="A447" s="55"/>
    </row>
    <row r="448" spans="1:1" ht="16.5" customHeight="1" x14ac:dyDescent="0.2">
      <c r="A448" s="55"/>
    </row>
    <row r="449" spans="1:1" ht="16.5" customHeight="1" x14ac:dyDescent="0.2">
      <c r="A449" s="55"/>
    </row>
    <row r="450" spans="1:1" ht="16.5" customHeight="1" x14ac:dyDescent="0.2">
      <c r="A450" s="55"/>
    </row>
    <row r="451" spans="1:1" ht="16.5" customHeight="1" x14ac:dyDescent="0.2">
      <c r="A451" s="55"/>
    </row>
    <row r="452" spans="1:1" ht="16.5" customHeight="1" x14ac:dyDescent="0.2">
      <c r="A452" s="55"/>
    </row>
    <row r="453" spans="1:1" ht="16.5" customHeight="1" x14ac:dyDescent="0.2">
      <c r="A453" s="55"/>
    </row>
    <row r="454" spans="1:1" ht="16.5" customHeight="1" x14ac:dyDescent="0.2">
      <c r="A454" s="55"/>
    </row>
    <row r="455" spans="1:1" ht="16.5" customHeight="1" x14ac:dyDescent="0.2">
      <c r="A455" s="55"/>
    </row>
    <row r="456" spans="1:1" ht="16.5" customHeight="1" x14ac:dyDescent="0.2">
      <c r="A456" s="55"/>
    </row>
    <row r="457" spans="1:1" ht="16.5" customHeight="1" x14ac:dyDescent="0.2">
      <c r="A457" s="55"/>
    </row>
    <row r="458" spans="1:1" ht="16.5" customHeight="1" x14ac:dyDescent="0.2">
      <c r="A458" s="55"/>
    </row>
    <row r="459" spans="1:1" ht="16.5" customHeight="1" x14ac:dyDescent="0.2">
      <c r="A459" s="55"/>
    </row>
    <row r="460" spans="1:1" ht="16.5" customHeight="1" x14ac:dyDescent="0.2">
      <c r="A460" s="55"/>
    </row>
    <row r="461" spans="1:1" ht="16.5" customHeight="1" x14ac:dyDescent="0.2">
      <c r="A461" s="55"/>
    </row>
    <row r="462" spans="1:1" ht="16.5" customHeight="1" x14ac:dyDescent="0.2">
      <c r="A462" s="55"/>
    </row>
    <row r="463" spans="1:1" ht="16.5" customHeight="1" x14ac:dyDescent="0.2">
      <c r="A463" s="55"/>
    </row>
    <row r="464" spans="1:1" ht="16.5" customHeight="1" x14ac:dyDescent="0.2">
      <c r="A464" s="55"/>
    </row>
    <row r="465" spans="1:1" ht="16.5" customHeight="1" x14ac:dyDescent="0.2">
      <c r="A465" s="55"/>
    </row>
    <row r="466" spans="1:1" ht="16.5" customHeight="1" x14ac:dyDescent="0.2">
      <c r="A466" s="55"/>
    </row>
    <row r="467" spans="1:1" ht="16.5" customHeight="1" x14ac:dyDescent="0.2">
      <c r="A467" s="55"/>
    </row>
    <row r="468" spans="1:1" ht="16.5" customHeight="1" x14ac:dyDescent="0.2">
      <c r="A468" s="55"/>
    </row>
    <row r="469" spans="1:1" ht="16.5" customHeight="1" x14ac:dyDescent="0.2">
      <c r="A469" s="55"/>
    </row>
    <row r="470" spans="1:1" ht="16.5" customHeight="1" x14ac:dyDescent="0.2">
      <c r="A470" s="55"/>
    </row>
    <row r="471" spans="1:1" ht="16.5" customHeight="1" x14ac:dyDescent="0.2">
      <c r="A471" s="55"/>
    </row>
    <row r="472" spans="1:1" ht="16.5" customHeight="1" x14ac:dyDescent="0.2">
      <c r="A472" s="55"/>
    </row>
    <row r="473" spans="1:1" ht="16.5" customHeight="1" x14ac:dyDescent="0.2">
      <c r="A473" s="55"/>
    </row>
    <row r="474" spans="1:1" ht="16.5" customHeight="1" x14ac:dyDescent="0.2">
      <c r="A474" s="55"/>
    </row>
    <row r="475" spans="1:1" ht="16.5" customHeight="1" x14ac:dyDescent="0.2">
      <c r="A475" s="55"/>
    </row>
    <row r="476" spans="1:1" ht="16.5" customHeight="1" x14ac:dyDescent="0.2">
      <c r="A476" s="55"/>
    </row>
    <row r="477" spans="1:1" ht="16.5" customHeight="1" x14ac:dyDescent="0.2">
      <c r="A477" s="55"/>
    </row>
    <row r="478" spans="1:1" ht="16.5" customHeight="1" x14ac:dyDescent="0.2">
      <c r="A478" s="55"/>
    </row>
    <row r="479" spans="1:1" ht="16.5" customHeight="1" x14ac:dyDescent="0.2">
      <c r="A479" s="55"/>
    </row>
    <row r="480" spans="1:1" ht="16.5" customHeight="1" x14ac:dyDescent="0.2">
      <c r="A480" s="55"/>
    </row>
    <row r="481" spans="1:1" ht="16.5" customHeight="1" x14ac:dyDescent="0.2">
      <c r="A481" s="55"/>
    </row>
    <row r="482" spans="1:1" ht="16.5" customHeight="1" x14ac:dyDescent="0.2">
      <c r="A482" s="55"/>
    </row>
    <row r="483" spans="1:1" ht="16.5" customHeight="1" x14ac:dyDescent="0.2">
      <c r="A483" s="55"/>
    </row>
    <row r="484" spans="1:1" ht="16.5" customHeight="1" x14ac:dyDescent="0.2">
      <c r="A484" s="55"/>
    </row>
    <row r="485" spans="1:1" ht="16.5" customHeight="1" x14ac:dyDescent="0.2">
      <c r="A485" s="55"/>
    </row>
    <row r="486" spans="1:1" ht="16.5" customHeight="1" x14ac:dyDescent="0.2">
      <c r="A486" s="55"/>
    </row>
    <row r="487" spans="1:1" ht="16.5" customHeight="1" x14ac:dyDescent="0.2">
      <c r="A487" s="55"/>
    </row>
    <row r="488" spans="1:1" ht="16.5" customHeight="1" x14ac:dyDescent="0.2">
      <c r="A488" s="55"/>
    </row>
    <row r="489" spans="1:1" ht="16.5" customHeight="1" x14ac:dyDescent="0.2">
      <c r="A489" s="55"/>
    </row>
    <row r="490" spans="1:1" ht="16.5" customHeight="1" x14ac:dyDescent="0.2">
      <c r="A490" s="55"/>
    </row>
    <row r="491" spans="1:1" ht="16.5" customHeight="1" x14ac:dyDescent="0.2">
      <c r="A491" s="55"/>
    </row>
    <row r="492" spans="1:1" ht="16.5" customHeight="1" x14ac:dyDescent="0.2">
      <c r="A492" s="55"/>
    </row>
    <row r="493" spans="1:1" ht="16.5" customHeight="1" x14ac:dyDescent="0.2">
      <c r="A493" s="55"/>
    </row>
    <row r="494" spans="1:1" ht="16.5" customHeight="1" x14ac:dyDescent="0.2">
      <c r="A494" s="55"/>
    </row>
    <row r="495" spans="1:1" ht="16.5" customHeight="1" x14ac:dyDescent="0.2">
      <c r="A495" s="55"/>
    </row>
    <row r="496" spans="1:1" ht="16.5" customHeight="1" x14ac:dyDescent="0.2">
      <c r="A496" s="55"/>
    </row>
    <row r="497" spans="1:1" ht="16.5" customHeight="1" x14ac:dyDescent="0.2">
      <c r="A497" s="55"/>
    </row>
    <row r="498" spans="1:1" ht="16.5" customHeight="1" x14ac:dyDescent="0.2">
      <c r="A498" s="55"/>
    </row>
    <row r="499" spans="1:1" ht="16.5" customHeight="1" x14ac:dyDescent="0.2">
      <c r="A499" s="55"/>
    </row>
    <row r="500" spans="1:1" ht="16.5" customHeight="1" x14ac:dyDescent="0.2">
      <c r="A500" s="55"/>
    </row>
    <row r="501" spans="1:1" ht="16.5" customHeight="1" x14ac:dyDescent="0.2">
      <c r="A501" s="55"/>
    </row>
    <row r="502" spans="1:1" ht="16.5" customHeight="1" x14ac:dyDescent="0.2">
      <c r="A502" s="55"/>
    </row>
    <row r="503" spans="1:1" ht="16.5" customHeight="1" x14ac:dyDescent="0.2">
      <c r="A503" s="55"/>
    </row>
    <row r="504" spans="1:1" ht="16.5" customHeight="1" x14ac:dyDescent="0.2">
      <c r="A504" s="55"/>
    </row>
    <row r="505" spans="1:1" ht="16.5" customHeight="1" x14ac:dyDescent="0.2">
      <c r="A505" s="55"/>
    </row>
    <row r="506" spans="1:1" ht="16.5" customHeight="1" x14ac:dyDescent="0.2">
      <c r="A506" s="55"/>
    </row>
    <row r="507" spans="1:1" ht="16.5" customHeight="1" x14ac:dyDescent="0.2">
      <c r="A507" s="55"/>
    </row>
    <row r="508" spans="1:1" ht="16.5" customHeight="1" x14ac:dyDescent="0.2">
      <c r="A508" s="55"/>
    </row>
    <row r="509" spans="1:1" ht="16.5" customHeight="1" x14ac:dyDescent="0.2">
      <c r="A509" s="55"/>
    </row>
    <row r="510" spans="1:1" ht="16.5" customHeight="1" x14ac:dyDescent="0.2">
      <c r="A510" s="55"/>
    </row>
    <row r="511" spans="1:1" ht="16.5" customHeight="1" x14ac:dyDescent="0.2">
      <c r="A511" s="55"/>
    </row>
    <row r="512" spans="1:1" ht="16.5" customHeight="1" x14ac:dyDescent="0.2">
      <c r="A512" s="55"/>
    </row>
    <row r="513" spans="1:1" ht="16.5" customHeight="1" x14ac:dyDescent="0.2">
      <c r="A513" s="55"/>
    </row>
    <row r="514" spans="1:1" ht="16.5" customHeight="1" x14ac:dyDescent="0.2">
      <c r="A514" s="55"/>
    </row>
    <row r="515" spans="1:1" ht="16.5" customHeight="1" x14ac:dyDescent="0.2">
      <c r="A515" s="55"/>
    </row>
    <row r="516" spans="1:1" ht="16.5" customHeight="1" x14ac:dyDescent="0.2">
      <c r="A516" s="55"/>
    </row>
    <row r="517" spans="1:1" ht="16.5" customHeight="1" x14ac:dyDescent="0.2">
      <c r="A517" s="55"/>
    </row>
    <row r="518" spans="1:1" ht="16.5" customHeight="1" x14ac:dyDescent="0.2">
      <c r="A518" s="55"/>
    </row>
    <row r="519" spans="1:1" ht="16.5" customHeight="1" x14ac:dyDescent="0.2">
      <c r="A519" s="55"/>
    </row>
    <row r="520" spans="1:1" ht="16.5" customHeight="1" x14ac:dyDescent="0.2">
      <c r="A520" s="55"/>
    </row>
    <row r="521" spans="1:1" ht="16.5" customHeight="1" x14ac:dyDescent="0.2">
      <c r="A521" s="55"/>
    </row>
    <row r="522" spans="1:1" ht="16.5" customHeight="1" x14ac:dyDescent="0.2">
      <c r="A522" s="55"/>
    </row>
    <row r="523" spans="1:1" ht="16.5" customHeight="1" x14ac:dyDescent="0.2">
      <c r="A523" s="55"/>
    </row>
    <row r="524" spans="1:1" ht="16.5" customHeight="1" x14ac:dyDescent="0.2">
      <c r="A524" s="55"/>
    </row>
    <row r="525" spans="1:1" ht="16.5" customHeight="1" x14ac:dyDescent="0.2">
      <c r="A525" s="55"/>
    </row>
    <row r="526" spans="1:1" ht="16.5" customHeight="1" x14ac:dyDescent="0.2">
      <c r="A526" s="55"/>
    </row>
    <row r="527" spans="1:1" ht="16.5" customHeight="1" x14ac:dyDescent="0.2">
      <c r="A527" s="55"/>
    </row>
    <row r="528" spans="1:1" ht="16.5" customHeight="1" x14ac:dyDescent="0.2">
      <c r="A528" s="55"/>
    </row>
    <row r="529" spans="1:1" ht="16.5" customHeight="1" x14ac:dyDescent="0.2">
      <c r="A529" s="55"/>
    </row>
    <row r="530" spans="1:1" ht="16.5" customHeight="1" x14ac:dyDescent="0.2">
      <c r="A530" s="55"/>
    </row>
    <row r="531" spans="1:1" ht="16.5" customHeight="1" x14ac:dyDescent="0.2">
      <c r="A531" s="55"/>
    </row>
    <row r="532" spans="1:1" ht="16.5" customHeight="1" x14ac:dyDescent="0.2">
      <c r="A532" s="55"/>
    </row>
    <row r="533" spans="1:1" ht="16.5" customHeight="1" x14ac:dyDescent="0.2">
      <c r="A533" s="55"/>
    </row>
    <row r="534" spans="1:1" ht="16.5" customHeight="1" x14ac:dyDescent="0.2">
      <c r="A534" s="55"/>
    </row>
    <row r="535" spans="1:1" ht="16.5" customHeight="1" x14ac:dyDescent="0.2">
      <c r="A535" s="55"/>
    </row>
    <row r="536" spans="1:1" ht="16.5" customHeight="1" x14ac:dyDescent="0.2">
      <c r="A536" s="55"/>
    </row>
    <row r="537" spans="1:1" ht="16.5" customHeight="1" x14ac:dyDescent="0.2">
      <c r="A537" s="55"/>
    </row>
    <row r="538" spans="1:1" ht="16.5" customHeight="1" x14ac:dyDescent="0.2">
      <c r="A538" s="55"/>
    </row>
    <row r="539" spans="1:1" ht="16.5" customHeight="1" x14ac:dyDescent="0.2">
      <c r="A539" s="55"/>
    </row>
    <row r="540" spans="1:1" ht="16.5" customHeight="1" x14ac:dyDescent="0.2">
      <c r="A540" s="55"/>
    </row>
    <row r="541" spans="1:1" ht="16.5" customHeight="1" x14ac:dyDescent="0.2">
      <c r="A541" s="55"/>
    </row>
    <row r="542" spans="1:1" ht="16.5" customHeight="1" x14ac:dyDescent="0.2">
      <c r="A542" s="55"/>
    </row>
    <row r="543" spans="1:1" ht="16.5" customHeight="1" x14ac:dyDescent="0.2">
      <c r="A543" s="55"/>
    </row>
    <row r="544" spans="1:1" ht="16.5" customHeight="1" x14ac:dyDescent="0.2">
      <c r="A544" s="55"/>
    </row>
    <row r="545" spans="1:1" ht="16.5" customHeight="1" x14ac:dyDescent="0.2">
      <c r="A545" s="55"/>
    </row>
    <row r="546" spans="1:1" ht="16.5" customHeight="1" x14ac:dyDescent="0.2">
      <c r="A546" s="55"/>
    </row>
    <row r="547" spans="1:1" ht="16.5" customHeight="1" x14ac:dyDescent="0.2">
      <c r="A547" s="55"/>
    </row>
    <row r="548" spans="1:1" ht="16.5" customHeight="1" x14ac:dyDescent="0.2">
      <c r="A548" s="55"/>
    </row>
    <row r="549" spans="1:1" ht="16.5" customHeight="1" x14ac:dyDescent="0.2">
      <c r="A549" s="55"/>
    </row>
    <row r="550" spans="1:1" ht="16.5" customHeight="1" x14ac:dyDescent="0.2">
      <c r="A550" s="55"/>
    </row>
    <row r="551" spans="1:1" ht="16.5" customHeight="1" x14ac:dyDescent="0.2">
      <c r="A551" s="55"/>
    </row>
    <row r="552" spans="1:1" ht="16.5" customHeight="1" x14ac:dyDescent="0.2">
      <c r="A552" s="55"/>
    </row>
    <row r="553" spans="1:1" ht="16.5" customHeight="1" x14ac:dyDescent="0.2">
      <c r="A553" s="55"/>
    </row>
    <row r="554" spans="1:1" ht="16.5" customHeight="1" x14ac:dyDescent="0.2">
      <c r="A554" s="55"/>
    </row>
    <row r="555" spans="1:1" ht="16.5" customHeight="1" x14ac:dyDescent="0.2">
      <c r="A555" s="55"/>
    </row>
    <row r="556" spans="1:1" ht="16.5" customHeight="1" x14ac:dyDescent="0.2">
      <c r="A556" s="55"/>
    </row>
    <row r="557" spans="1:1" ht="16.5" customHeight="1" x14ac:dyDescent="0.2">
      <c r="A557" s="55"/>
    </row>
    <row r="558" spans="1:1" ht="16.5" customHeight="1" x14ac:dyDescent="0.2">
      <c r="A558" s="55"/>
    </row>
    <row r="559" spans="1:1" ht="16.5" customHeight="1" x14ac:dyDescent="0.2">
      <c r="A559" s="55"/>
    </row>
    <row r="560" spans="1:1" ht="16.5" customHeight="1" x14ac:dyDescent="0.2">
      <c r="A560" s="55"/>
    </row>
    <row r="561" spans="1:1" ht="16.5" customHeight="1" x14ac:dyDescent="0.2">
      <c r="A561" s="55"/>
    </row>
    <row r="562" spans="1:1" ht="16.5" customHeight="1" x14ac:dyDescent="0.2">
      <c r="A562" s="55"/>
    </row>
    <row r="563" spans="1:1" ht="16.5" customHeight="1" x14ac:dyDescent="0.2">
      <c r="A563" s="55"/>
    </row>
    <row r="564" spans="1:1" ht="16.5" customHeight="1" x14ac:dyDescent="0.2">
      <c r="A564" s="55"/>
    </row>
    <row r="565" spans="1:1" ht="16.5" customHeight="1" x14ac:dyDescent="0.2">
      <c r="A565" s="55"/>
    </row>
    <row r="566" spans="1:1" ht="16.5" customHeight="1" x14ac:dyDescent="0.2">
      <c r="A566" s="55"/>
    </row>
    <row r="567" spans="1:1" ht="16.5" customHeight="1" x14ac:dyDescent="0.2">
      <c r="A567" s="55"/>
    </row>
    <row r="568" spans="1:1" ht="16.5" customHeight="1" x14ac:dyDescent="0.2">
      <c r="A568" s="55"/>
    </row>
    <row r="569" spans="1:1" ht="16.5" customHeight="1" x14ac:dyDescent="0.2">
      <c r="A569" s="55"/>
    </row>
    <row r="570" spans="1:1" ht="16.5" customHeight="1" x14ac:dyDescent="0.2">
      <c r="A570" s="55"/>
    </row>
    <row r="571" spans="1:1" ht="16.5" customHeight="1" x14ac:dyDescent="0.2">
      <c r="A571" s="55"/>
    </row>
    <row r="572" spans="1:1" ht="16.5" customHeight="1" x14ac:dyDescent="0.2">
      <c r="A572" s="55"/>
    </row>
    <row r="573" spans="1:1" ht="16.5" customHeight="1" x14ac:dyDescent="0.2">
      <c r="A573" s="55"/>
    </row>
    <row r="574" spans="1:1" ht="16.5" customHeight="1" x14ac:dyDescent="0.2">
      <c r="A574" s="55"/>
    </row>
    <row r="575" spans="1:1" ht="16.5" customHeight="1" x14ac:dyDescent="0.2">
      <c r="A575" s="55"/>
    </row>
    <row r="576" spans="1:1" ht="16.5" customHeight="1" x14ac:dyDescent="0.2">
      <c r="A576" s="55"/>
    </row>
    <row r="577" spans="1:1" ht="16.5" customHeight="1" x14ac:dyDescent="0.2">
      <c r="A577" s="55"/>
    </row>
    <row r="578" spans="1:1" ht="16.5" customHeight="1" x14ac:dyDescent="0.2">
      <c r="A578" s="55"/>
    </row>
    <row r="579" spans="1:1" ht="16.5" customHeight="1" x14ac:dyDescent="0.2">
      <c r="A579" s="55"/>
    </row>
    <row r="580" spans="1:1" ht="16.5" customHeight="1" x14ac:dyDescent="0.2">
      <c r="A580" s="55"/>
    </row>
    <row r="581" spans="1:1" ht="16.5" customHeight="1" x14ac:dyDescent="0.2">
      <c r="A581" s="55"/>
    </row>
    <row r="582" spans="1:1" ht="16.5" customHeight="1" x14ac:dyDescent="0.2">
      <c r="A582" s="55"/>
    </row>
    <row r="583" spans="1:1" ht="16.5" customHeight="1" x14ac:dyDescent="0.2">
      <c r="A583" s="55"/>
    </row>
    <row r="584" spans="1:1" ht="16.5" customHeight="1" x14ac:dyDescent="0.2">
      <c r="A584" s="55"/>
    </row>
    <row r="585" spans="1:1" ht="16.5" customHeight="1" x14ac:dyDescent="0.2">
      <c r="A585" s="55"/>
    </row>
    <row r="586" spans="1:1" ht="16.5" customHeight="1" x14ac:dyDescent="0.2">
      <c r="A586" s="55"/>
    </row>
    <row r="587" spans="1:1" ht="16.5" customHeight="1" x14ac:dyDescent="0.2">
      <c r="A587" s="55"/>
    </row>
    <row r="588" spans="1:1" ht="16.5" customHeight="1" x14ac:dyDescent="0.2">
      <c r="A588" s="55"/>
    </row>
    <row r="589" spans="1:1" ht="16.5" customHeight="1" x14ac:dyDescent="0.2">
      <c r="A589" s="55"/>
    </row>
    <row r="590" spans="1:1" ht="16.5" customHeight="1" x14ac:dyDescent="0.2">
      <c r="A590" s="55"/>
    </row>
    <row r="591" spans="1:1" ht="16.5" customHeight="1" x14ac:dyDescent="0.2">
      <c r="A591" s="55"/>
    </row>
    <row r="592" spans="1:1" ht="16.5" customHeight="1" x14ac:dyDescent="0.2">
      <c r="A592" s="55"/>
    </row>
    <row r="593" spans="1:1" ht="16.5" customHeight="1" x14ac:dyDescent="0.2">
      <c r="A593" s="55"/>
    </row>
    <row r="594" spans="1:1" ht="16.5" customHeight="1" x14ac:dyDescent="0.2">
      <c r="A594" s="55"/>
    </row>
    <row r="595" spans="1:1" ht="16.5" customHeight="1" x14ac:dyDescent="0.2">
      <c r="A595" s="55"/>
    </row>
    <row r="596" spans="1:1" ht="16.5" customHeight="1" x14ac:dyDescent="0.2">
      <c r="A596" s="55"/>
    </row>
    <row r="597" spans="1:1" ht="16.5" customHeight="1" x14ac:dyDescent="0.2">
      <c r="A597" s="55"/>
    </row>
    <row r="598" spans="1:1" ht="16.5" customHeight="1" x14ac:dyDescent="0.2">
      <c r="A598" s="55"/>
    </row>
    <row r="599" spans="1:1" ht="16.5" customHeight="1" x14ac:dyDescent="0.2">
      <c r="A599" s="55"/>
    </row>
    <row r="600" spans="1:1" ht="16.5" customHeight="1" x14ac:dyDescent="0.2">
      <c r="A600" s="55"/>
    </row>
    <row r="601" spans="1:1" ht="16.5" customHeight="1" x14ac:dyDescent="0.2">
      <c r="A601" s="55"/>
    </row>
    <row r="602" spans="1:1" ht="16.5" customHeight="1" x14ac:dyDescent="0.2">
      <c r="A602" s="55"/>
    </row>
    <row r="603" spans="1:1" ht="16.5" customHeight="1" x14ac:dyDescent="0.2">
      <c r="A603" s="55"/>
    </row>
    <row r="604" spans="1:1" ht="16.5" customHeight="1" x14ac:dyDescent="0.2">
      <c r="A604" s="55"/>
    </row>
    <row r="605" spans="1:1" ht="16.5" customHeight="1" x14ac:dyDescent="0.2">
      <c r="A605" s="55"/>
    </row>
    <row r="606" spans="1:1" ht="16.5" customHeight="1" x14ac:dyDescent="0.2">
      <c r="A606" s="55"/>
    </row>
    <row r="607" spans="1:1" ht="16.5" customHeight="1" x14ac:dyDescent="0.2">
      <c r="A607" s="55"/>
    </row>
    <row r="608" spans="1:1" ht="16.5" customHeight="1" x14ac:dyDescent="0.2">
      <c r="A608" s="55"/>
    </row>
    <row r="609" spans="1:1" ht="16.5" customHeight="1" x14ac:dyDescent="0.2">
      <c r="A609" s="55"/>
    </row>
    <row r="610" spans="1:1" ht="16.5" customHeight="1" x14ac:dyDescent="0.2">
      <c r="A610" s="55"/>
    </row>
    <row r="611" spans="1:1" ht="16.5" customHeight="1" x14ac:dyDescent="0.2">
      <c r="A611" s="55"/>
    </row>
    <row r="612" spans="1:1" ht="16.5" customHeight="1" x14ac:dyDescent="0.2">
      <c r="A612" s="55"/>
    </row>
    <row r="613" spans="1:1" ht="16.5" customHeight="1" x14ac:dyDescent="0.2">
      <c r="A613" s="55"/>
    </row>
    <row r="614" spans="1:1" ht="16.5" customHeight="1" x14ac:dyDescent="0.2">
      <c r="A614" s="55"/>
    </row>
    <row r="615" spans="1:1" ht="16.5" customHeight="1" x14ac:dyDescent="0.2">
      <c r="A615" s="55"/>
    </row>
    <row r="616" spans="1:1" ht="16.5" customHeight="1" x14ac:dyDescent="0.2">
      <c r="A616" s="55"/>
    </row>
    <row r="617" spans="1:1" ht="16.5" customHeight="1" x14ac:dyDescent="0.2">
      <c r="A617" s="55"/>
    </row>
    <row r="618" spans="1:1" ht="16.5" customHeight="1" x14ac:dyDescent="0.2">
      <c r="A618" s="55"/>
    </row>
    <row r="619" spans="1:1" ht="16.5" customHeight="1" x14ac:dyDescent="0.2">
      <c r="A619" s="55"/>
    </row>
    <row r="620" spans="1:1" ht="16.5" customHeight="1" x14ac:dyDescent="0.2">
      <c r="A620" s="55"/>
    </row>
    <row r="621" spans="1:1" ht="16.5" customHeight="1" x14ac:dyDescent="0.2">
      <c r="A621" s="55"/>
    </row>
    <row r="622" spans="1:1" ht="16.5" customHeight="1" x14ac:dyDescent="0.2">
      <c r="A622" s="55"/>
    </row>
    <row r="623" spans="1:1" ht="16.5" customHeight="1" x14ac:dyDescent="0.2">
      <c r="A623" s="55"/>
    </row>
    <row r="624" spans="1:1" ht="16.5" customHeight="1" x14ac:dyDescent="0.2">
      <c r="A624" s="55"/>
    </row>
    <row r="625" spans="1:1" ht="16.5" customHeight="1" x14ac:dyDescent="0.2">
      <c r="A625" s="55"/>
    </row>
    <row r="626" spans="1:1" ht="16.5" customHeight="1" x14ac:dyDescent="0.2">
      <c r="A626" s="55"/>
    </row>
    <row r="627" spans="1:1" ht="16.5" customHeight="1" x14ac:dyDescent="0.2">
      <c r="A627" s="55"/>
    </row>
    <row r="628" spans="1:1" ht="16.5" customHeight="1" x14ac:dyDescent="0.2">
      <c r="A628" s="55"/>
    </row>
    <row r="629" spans="1:1" ht="16.5" customHeight="1" x14ac:dyDescent="0.2">
      <c r="A629" s="55"/>
    </row>
    <row r="630" spans="1:1" ht="16.5" customHeight="1" x14ac:dyDescent="0.2">
      <c r="A630" s="55"/>
    </row>
    <row r="631" spans="1:1" ht="16.5" customHeight="1" x14ac:dyDescent="0.2">
      <c r="A631" s="55"/>
    </row>
    <row r="632" spans="1:1" ht="16.5" customHeight="1" x14ac:dyDescent="0.2">
      <c r="A632" s="55"/>
    </row>
    <row r="633" spans="1:1" ht="16.5" customHeight="1" x14ac:dyDescent="0.2">
      <c r="A633" s="55"/>
    </row>
    <row r="634" spans="1:1" ht="16.5" customHeight="1" x14ac:dyDescent="0.2">
      <c r="A634" s="55"/>
    </row>
    <row r="635" spans="1:1" ht="16.5" customHeight="1" x14ac:dyDescent="0.2">
      <c r="A635" s="55"/>
    </row>
    <row r="636" spans="1:1" ht="16.5" customHeight="1" x14ac:dyDescent="0.2">
      <c r="A636" s="55"/>
    </row>
    <row r="637" spans="1:1" ht="16.5" customHeight="1" x14ac:dyDescent="0.2">
      <c r="A637" s="55"/>
    </row>
    <row r="638" spans="1:1" ht="16.5" customHeight="1" x14ac:dyDescent="0.2">
      <c r="A638" s="55"/>
    </row>
    <row r="639" spans="1:1" ht="16.5" customHeight="1" x14ac:dyDescent="0.2">
      <c r="A639" s="55"/>
    </row>
    <row r="640" spans="1:1" ht="16.5" customHeight="1" x14ac:dyDescent="0.2">
      <c r="A640" s="55"/>
    </row>
    <row r="641" spans="1:1" ht="16.5" customHeight="1" x14ac:dyDescent="0.2">
      <c r="A641" s="55"/>
    </row>
    <row r="642" spans="1:1" ht="16.5" customHeight="1" x14ac:dyDescent="0.2">
      <c r="A642" s="55"/>
    </row>
    <row r="643" spans="1:1" ht="16.5" customHeight="1" x14ac:dyDescent="0.2">
      <c r="A643" s="55"/>
    </row>
    <row r="644" spans="1:1" ht="16.5" customHeight="1" x14ac:dyDescent="0.2">
      <c r="A644" s="55"/>
    </row>
    <row r="645" spans="1:1" ht="16.5" customHeight="1" x14ac:dyDescent="0.2">
      <c r="A645" s="55"/>
    </row>
    <row r="646" spans="1:1" ht="16.5" customHeight="1" x14ac:dyDescent="0.2">
      <c r="A646" s="55"/>
    </row>
    <row r="647" spans="1:1" ht="16.5" customHeight="1" x14ac:dyDescent="0.2">
      <c r="A647" s="55"/>
    </row>
    <row r="648" spans="1:1" ht="16.5" customHeight="1" x14ac:dyDescent="0.2">
      <c r="A648" s="55"/>
    </row>
    <row r="649" spans="1:1" ht="16.5" customHeight="1" x14ac:dyDescent="0.2">
      <c r="A649" s="55"/>
    </row>
    <row r="650" spans="1:1" ht="16.5" customHeight="1" x14ac:dyDescent="0.2">
      <c r="A650" s="55"/>
    </row>
    <row r="651" spans="1:1" ht="16.5" customHeight="1" x14ac:dyDescent="0.2">
      <c r="A651" s="55"/>
    </row>
    <row r="652" spans="1:1" ht="16.5" customHeight="1" x14ac:dyDescent="0.2">
      <c r="A652" s="55"/>
    </row>
    <row r="653" spans="1:1" ht="16.5" customHeight="1" x14ac:dyDescent="0.2">
      <c r="A653" s="55"/>
    </row>
    <row r="654" spans="1:1" ht="16.5" customHeight="1" x14ac:dyDescent="0.2">
      <c r="A654" s="55"/>
    </row>
    <row r="655" spans="1:1" ht="16.5" customHeight="1" x14ac:dyDescent="0.2">
      <c r="A655" s="55"/>
    </row>
    <row r="656" spans="1:1" ht="16.5" customHeight="1" x14ac:dyDescent="0.2">
      <c r="A656" s="55"/>
    </row>
    <row r="657" spans="1:1" ht="16.5" customHeight="1" x14ac:dyDescent="0.2">
      <c r="A657" s="55"/>
    </row>
    <row r="658" spans="1:1" ht="16.5" customHeight="1" x14ac:dyDescent="0.2">
      <c r="A658" s="55"/>
    </row>
    <row r="659" spans="1:1" ht="16.5" customHeight="1" x14ac:dyDescent="0.2">
      <c r="A659" s="55"/>
    </row>
    <row r="660" spans="1:1" ht="16.5" customHeight="1" x14ac:dyDescent="0.2">
      <c r="A660" s="55"/>
    </row>
    <row r="661" spans="1:1" ht="16.5" customHeight="1" x14ac:dyDescent="0.2">
      <c r="A661" s="55"/>
    </row>
    <row r="662" spans="1:1" ht="16.5" customHeight="1" x14ac:dyDescent="0.2">
      <c r="A662" s="55"/>
    </row>
    <row r="663" spans="1:1" ht="16.5" customHeight="1" x14ac:dyDescent="0.2">
      <c r="A663" s="55"/>
    </row>
    <row r="664" spans="1:1" ht="16.5" customHeight="1" x14ac:dyDescent="0.2">
      <c r="A664" s="55"/>
    </row>
    <row r="665" spans="1:1" ht="16.5" customHeight="1" x14ac:dyDescent="0.2">
      <c r="A665" s="55"/>
    </row>
    <row r="666" spans="1:1" ht="16.5" customHeight="1" x14ac:dyDescent="0.2">
      <c r="A666" s="55"/>
    </row>
    <row r="667" spans="1:1" ht="16.5" customHeight="1" x14ac:dyDescent="0.2">
      <c r="A667" s="55"/>
    </row>
    <row r="668" spans="1:1" ht="16.5" customHeight="1" x14ac:dyDescent="0.2">
      <c r="A668" s="55"/>
    </row>
    <row r="669" spans="1:1" ht="16.5" customHeight="1" x14ac:dyDescent="0.2">
      <c r="A669" s="55"/>
    </row>
    <row r="670" spans="1:1" ht="16.5" customHeight="1" x14ac:dyDescent="0.2">
      <c r="A670" s="55"/>
    </row>
    <row r="671" spans="1:1" ht="16.5" customHeight="1" x14ac:dyDescent="0.2">
      <c r="A671" s="55"/>
    </row>
    <row r="672" spans="1:1" ht="16.5" customHeight="1" x14ac:dyDescent="0.2">
      <c r="A672" s="55"/>
    </row>
    <row r="673" spans="1:1" ht="16.5" customHeight="1" x14ac:dyDescent="0.2">
      <c r="A673" s="55"/>
    </row>
    <row r="674" spans="1:1" ht="16.5" customHeight="1" x14ac:dyDescent="0.2">
      <c r="A674" s="55"/>
    </row>
    <row r="675" spans="1:1" ht="16.5" customHeight="1" x14ac:dyDescent="0.2">
      <c r="A675" s="55"/>
    </row>
    <row r="676" spans="1:1" ht="16.5" customHeight="1" x14ac:dyDescent="0.2">
      <c r="A676" s="55"/>
    </row>
    <row r="677" spans="1:1" ht="16.5" customHeight="1" x14ac:dyDescent="0.2">
      <c r="A677" s="55"/>
    </row>
    <row r="678" spans="1:1" ht="16.5" customHeight="1" x14ac:dyDescent="0.2">
      <c r="A678" s="55"/>
    </row>
    <row r="679" spans="1:1" ht="16.5" customHeight="1" x14ac:dyDescent="0.2">
      <c r="A679" s="55"/>
    </row>
    <row r="680" spans="1:1" ht="16.5" customHeight="1" x14ac:dyDescent="0.2">
      <c r="A680" s="55"/>
    </row>
    <row r="681" spans="1:1" ht="16.5" customHeight="1" x14ac:dyDescent="0.2">
      <c r="A681" s="55"/>
    </row>
    <row r="682" spans="1:1" ht="16.5" customHeight="1" x14ac:dyDescent="0.2">
      <c r="A682" s="55"/>
    </row>
    <row r="683" spans="1:1" ht="16.5" customHeight="1" x14ac:dyDescent="0.2">
      <c r="A683" s="55"/>
    </row>
    <row r="684" spans="1:1" ht="16.5" customHeight="1" x14ac:dyDescent="0.2">
      <c r="A684" s="55"/>
    </row>
    <row r="685" spans="1:1" ht="16.5" customHeight="1" x14ac:dyDescent="0.2">
      <c r="A685" s="55"/>
    </row>
    <row r="686" spans="1:1" ht="16.5" customHeight="1" x14ac:dyDescent="0.2">
      <c r="A686" s="55"/>
    </row>
    <row r="687" spans="1:1" ht="16.5" customHeight="1" x14ac:dyDescent="0.2">
      <c r="A687" s="55"/>
    </row>
    <row r="688" spans="1:1" ht="16.5" customHeight="1" x14ac:dyDescent="0.2">
      <c r="A688" s="55"/>
    </row>
    <row r="689" spans="1:1" ht="16.5" customHeight="1" x14ac:dyDescent="0.2">
      <c r="A689" s="55"/>
    </row>
    <row r="690" spans="1:1" ht="16.5" customHeight="1" x14ac:dyDescent="0.2">
      <c r="A690" s="55"/>
    </row>
    <row r="691" spans="1:1" ht="16.5" customHeight="1" x14ac:dyDescent="0.2">
      <c r="A691" s="55"/>
    </row>
    <row r="692" spans="1:1" ht="16.5" customHeight="1" x14ac:dyDescent="0.2">
      <c r="A692" s="55"/>
    </row>
    <row r="693" spans="1:1" ht="16.5" customHeight="1" x14ac:dyDescent="0.2">
      <c r="A693" s="55"/>
    </row>
    <row r="694" spans="1:1" ht="16.5" customHeight="1" x14ac:dyDescent="0.2">
      <c r="A694" s="55"/>
    </row>
    <row r="695" spans="1:1" ht="16.5" customHeight="1" x14ac:dyDescent="0.2">
      <c r="A695" s="55"/>
    </row>
    <row r="696" spans="1:1" ht="16.5" customHeight="1" x14ac:dyDescent="0.2">
      <c r="A696" s="55"/>
    </row>
    <row r="697" spans="1:1" ht="16.5" customHeight="1" x14ac:dyDescent="0.2">
      <c r="A697" s="55"/>
    </row>
    <row r="698" spans="1:1" ht="16.5" customHeight="1" x14ac:dyDescent="0.2">
      <c r="A698" s="55"/>
    </row>
    <row r="699" spans="1:1" ht="16.5" customHeight="1" x14ac:dyDescent="0.2">
      <c r="A699" s="55"/>
    </row>
    <row r="700" spans="1:1" ht="16.5" customHeight="1" x14ac:dyDescent="0.2">
      <c r="A700" s="55"/>
    </row>
    <row r="701" spans="1:1" ht="16.5" customHeight="1" x14ac:dyDescent="0.2">
      <c r="A701" s="55"/>
    </row>
    <row r="702" spans="1:1" ht="16.5" customHeight="1" x14ac:dyDescent="0.2">
      <c r="A702" s="55"/>
    </row>
    <row r="703" spans="1:1" ht="16.5" customHeight="1" x14ac:dyDescent="0.2">
      <c r="A703" s="55"/>
    </row>
    <row r="704" spans="1:1" ht="16.5" customHeight="1" x14ac:dyDescent="0.2">
      <c r="A704" s="55"/>
    </row>
    <row r="705" spans="1:1" ht="16.5" customHeight="1" x14ac:dyDescent="0.2">
      <c r="A705" s="55"/>
    </row>
    <row r="706" spans="1:1" ht="16.5" customHeight="1" x14ac:dyDescent="0.2">
      <c r="A706" s="55"/>
    </row>
    <row r="707" spans="1:1" ht="16.5" customHeight="1" x14ac:dyDescent="0.2">
      <c r="A707" s="55"/>
    </row>
    <row r="708" spans="1:1" ht="16.5" customHeight="1" x14ac:dyDescent="0.2">
      <c r="A708" s="55"/>
    </row>
    <row r="709" spans="1:1" ht="16.5" customHeight="1" x14ac:dyDescent="0.2">
      <c r="A709" s="55"/>
    </row>
    <row r="710" spans="1:1" ht="16.5" customHeight="1" x14ac:dyDescent="0.2">
      <c r="A710" s="55"/>
    </row>
    <row r="711" spans="1:1" ht="16.5" customHeight="1" x14ac:dyDescent="0.2">
      <c r="A711" s="55"/>
    </row>
    <row r="712" spans="1:1" ht="16.5" customHeight="1" x14ac:dyDescent="0.2">
      <c r="A712" s="55"/>
    </row>
    <row r="713" spans="1:1" ht="16.5" customHeight="1" x14ac:dyDescent="0.2">
      <c r="A713" s="55"/>
    </row>
    <row r="714" spans="1:1" ht="16.5" customHeight="1" x14ac:dyDescent="0.2">
      <c r="A714" s="55"/>
    </row>
    <row r="715" spans="1:1" ht="16.5" customHeight="1" x14ac:dyDescent="0.2">
      <c r="A715" s="55"/>
    </row>
    <row r="716" spans="1:1" ht="16.5" customHeight="1" x14ac:dyDescent="0.2">
      <c r="A716" s="55"/>
    </row>
    <row r="717" spans="1:1" ht="16.5" customHeight="1" x14ac:dyDescent="0.2">
      <c r="A717" s="55"/>
    </row>
    <row r="718" spans="1:1" ht="16.5" customHeight="1" x14ac:dyDescent="0.2">
      <c r="A718" s="55"/>
    </row>
    <row r="719" spans="1:1" ht="16.5" customHeight="1" x14ac:dyDescent="0.2">
      <c r="A719" s="55"/>
    </row>
    <row r="720" spans="1:1" ht="16.5" customHeight="1" x14ac:dyDescent="0.2">
      <c r="A720" s="55"/>
    </row>
    <row r="721" spans="1:1" ht="16.5" customHeight="1" x14ac:dyDescent="0.2">
      <c r="A721" s="55"/>
    </row>
    <row r="722" spans="1:1" ht="16.5" customHeight="1" x14ac:dyDescent="0.2">
      <c r="A722" s="55"/>
    </row>
    <row r="723" spans="1:1" ht="16.5" customHeight="1" x14ac:dyDescent="0.2">
      <c r="A723" s="55"/>
    </row>
    <row r="724" spans="1:1" ht="16.5" customHeight="1" x14ac:dyDescent="0.2">
      <c r="A724" s="55"/>
    </row>
    <row r="725" spans="1:1" ht="16.5" customHeight="1" x14ac:dyDescent="0.2">
      <c r="A725" s="55"/>
    </row>
    <row r="726" spans="1:1" ht="16.5" customHeight="1" x14ac:dyDescent="0.2">
      <c r="A726" s="55"/>
    </row>
    <row r="727" spans="1:1" ht="16.5" customHeight="1" x14ac:dyDescent="0.2">
      <c r="A727" s="55"/>
    </row>
    <row r="728" spans="1:1" ht="16.5" customHeight="1" x14ac:dyDescent="0.2">
      <c r="A728" s="55"/>
    </row>
    <row r="729" spans="1:1" ht="16.5" customHeight="1" x14ac:dyDescent="0.2">
      <c r="A729" s="55"/>
    </row>
    <row r="730" spans="1:1" ht="16.5" customHeight="1" x14ac:dyDescent="0.2">
      <c r="A730" s="55"/>
    </row>
    <row r="731" spans="1:1" ht="16.5" customHeight="1" x14ac:dyDescent="0.2">
      <c r="A731" s="55"/>
    </row>
    <row r="732" spans="1:1" ht="16.5" customHeight="1" x14ac:dyDescent="0.2">
      <c r="A732" s="55"/>
    </row>
    <row r="733" spans="1:1" ht="16.5" customHeight="1" x14ac:dyDescent="0.2">
      <c r="A733" s="55"/>
    </row>
    <row r="734" spans="1:1" ht="16.5" customHeight="1" x14ac:dyDescent="0.2">
      <c r="A734" s="55"/>
    </row>
    <row r="735" spans="1:1" ht="16.5" customHeight="1" x14ac:dyDescent="0.2">
      <c r="A735" s="55"/>
    </row>
    <row r="736" spans="1:1" ht="16.5" customHeight="1" x14ac:dyDescent="0.2">
      <c r="A736" s="55"/>
    </row>
    <row r="737" spans="1:1" ht="16.5" customHeight="1" x14ac:dyDescent="0.2">
      <c r="A737" s="55"/>
    </row>
    <row r="738" spans="1:1" ht="16.5" customHeight="1" x14ac:dyDescent="0.2">
      <c r="A738" s="55"/>
    </row>
    <row r="739" spans="1:1" ht="16.5" customHeight="1" x14ac:dyDescent="0.2">
      <c r="A739" s="55"/>
    </row>
    <row r="740" spans="1:1" ht="16.5" customHeight="1" x14ac:dyDescent="0.2">
      <c r="A740" s="55"/>
    </row>
    <row r="741" spans="1:1" ht="16.5" customHeight="1" x14ac:dyDescent="0.2">
      <c r="A741" s="55"/>
    </row>
    <row r="742" spans="1:1" ht="16.5" customHeight="1" x14ac:dyDescent="0.2">
      <c r="A742" s="55"/>
    </row>
    <row r="743" spans="1:1" ht="16.5" customHeight="1" x14ac:dyDescent="0.2">
      <c r="A743" s="55"/>
    </row>
    <row r="744" spans="1:1" ht="16.5" customHeight="1" x14ac:dyDescent="0.2">
      <c r="A744" s="55"/>
    </row>
    <row r="745" spans="1:1" ht="16.5" customHeight="1" x14ac:dyDescent="0.2">
      <c r="A745" s="55"/>
    </row>
    <row r="746" spans="1:1" ht="16.5" customHeight="1" x14ac:dyDescent="0.2">
      <c r="A746" s="55"/>
    </row>
    <row r="747" spans="1:1" ht="16.5" customHeight="1" x14ac:dyDescent="0.2">
      <c r="A747" s="55"/>
    </row>
    <row r="748" spans="1:1" ht="16.5" customHeight="1" x14ac:dyDescent="0.2">
      <c r="A748" s="55"/>
    </row>
    <row r="749" spans="1:1" ht="16.5" customHeight="1" x14ac:dyDescent="0.2">
      <c r="A749" s="55"/>
    </row>
    <row r="750" spans="1:1" ht="16.5" customHeight="1" x14ac:dyDescent="0.2">
      <c r="A750" s="55"/>
    </row>
    <row r="751" spans="1:1" ht="16.5" customHeight="1" x14ac:dyDescent="0.2">
      <c r="A751" s="55"/>
    </row>
    <row r="752" spans="1:1" ht="16.5" customHeight="1" x14ac:dyDescent="0.2">
      <c r="A752" s="55"/>
    </row>
    <row r="753" spans="1:1" ht="16.5" customHeight="1" x14ac:dyDescent="0.2">
      <c r="A753" s="55"/>
    </row>
    <row r="754" spans="1:1" ht="16.5" customHeight="1" x14ac:dyDescent="0.2">
      <c r="A754" s="55"/>
    </row>
    <row r="755" spans="1:1" ht="16.5" customHeight="1" x14ac:dyDescent="0.2">
      <c r="A755" s="55"/>
    </row>
    <row r="756" spans="1:1" ht="16.5" customHeight="1" x14ac:dyDescent="0.2">
      <c r="A756" s="55"/>
    </row>
    <row r="757" spans="1:1" ht="16.5" customHeight="1" x14ac:dyDescent="0.2">
      <c r="A757" s="55"/>
    </row>
    <row r="758" spans="1:1" ht="16.5" customHeight="1" x14ac:dyDescent="0.2">
      <c r="A758" s="55"/>
    </row>
    <row r="759" spans="1:1" ht="16.5" customHeight="1" x14ac:dyDescent="0.2">
      <c r="A759" s="55"/>
    </row>
    <row r="760" spans="1:1" ht="16.5" customHeight="1" x14ac:dyDescent="0.2">
      <c r="A760" s="55"/>
    </row>
    <row r="761" spans="1:1" ht="16.5" customHeight="1" x14ac:dyDescent="0.2">
      <c r="A761" s="55"/>
    </row>
    <row r="762" spans="1:1" ht="16.5" customHeight="1" x14ac:dyDescent="0.2">
      <c r="A762" s="55"/>
    </row>
    <row r="763" spans="1:1" ht="16.5" customHeight="1" x14ac:dyDescent="0.2">
      <c r="A763" s="55"/>
    </row>
    <row r="764" spans="1:1" ht="16.5" customHeight="1" x14ac:dyDescent="0.2">
      <c r="A764" s="55"/>
    </row>
    <row r="765" spans="1:1" ht="16.5" customHeight="1" x14ac:dyDescent="0.2">
      <c r="A765" s="55"/>
    </row>
    <row r="766" spans="1:1" ht="16.5" customHeight="1" x14ac:dyDescent="0.2">
      <c r="A766" s="55"/>
    </row>
    <row r="767" spans="1:1" ht="16.5" customHeight="1" x14ac:dyDescent="0.2">
      <c r="A767" s="55"/>
    </row>
    <row r="768" spans="1:1" ht="16.5" customHeight="1" x14ac:dyDescent="0.2">
      <c r="A768" s="55"/>
    </row>
    <row r="769" spans="1:1" ht="16.5" customHeight="1" x14ac:dyDescent="0.2">
      <c r="A769" s="55"/>
    </row>
    <row r="770" spans="1:1" ht="16.5" customHeight="1" x14ac:dyDescent="0.2">
      <c r="A770" s="55"/>
    </row>
    <row r="771" spans="1:1" ht="16.5" customHeight="1" x14ac:dyDescent="0.2">
      <c r="A771" s="55"/>
    </row>
    <row r="772" spans="1:1" ht="16.5" customHeight="1" x14ac:dyDescent="0.2">
      <c r="A772" s="55"/>
    </row>
    <row r="773" spans="1:1" ht="16.5" customHeight="1" x14ac:dyDescent="0.2">
      <c r="A773" s="55"/>
    </row>
    <row r="774" spans="1:1" ht="16.5" customHeight="1" x14ac:dyDescent="0.2">
      <c r="A774" s="55"/>
    </row>
    <row r="775" spans="1:1" ht="16.5" customHeight="1" x14ac:dyDescent="0.2">
      <c r="A775" s="55"/>
    </row>
    <row r="776" spans="1:1" ht="16.5" customHeight="1" x14ac:dyDescent="0.2">
      <c r="A776" s="55"/>
    </row>
    <row r="777" spans="1:1" ht="16.5" customHeight="1" x14ac:dyDescent="0.2">
      <c r="A777" s="55"/>
    </row>
    <row r="778" spans="1:1" ht="16.5" customHeight="1" x14ac:dyDescent="0.2">
      <c r="A778" s="55"/>
    </row>
    <row r="779" spans="1:1" ht="16.5" customHeight="1" x14ac:dyDescent="0.2">
      <c r="A779" s="55"/>
    </row>
    <row r="780" spans="1:1" ht="16.5" customHeight="1" x14ac:dyDescent="0.2">
      <c r="A780" s="55"/>
    </row>
    <row r="781" spans="1:1" ht="16.5" customHeight="1" x14ac:dyDescent="0.2">
      <c r="A781" s="55"/>
    </row>
    <row r="782" spans="1:1" ht="16.5" customHeight="1" x14ac:dyDescent="0.2">
      <c r="A782" s="55"/>
    </row>
    <row r="783" spans="1:1" ht="16.5" customHeight="1" x14ac:dyDescent="0.2">
      <c r="A783" s="55"/>
    </row>
    <row r="784" spans="1:1" ht="16.5" customHeight="1" x14ac:dyDescent="0.2">
      <c r="A784" s="55"/>
    </row>
    <row r="785" spans="1:1" ht="16.5" customHeight="1" x14ac:dyDescent="0.2">
      <c r="A785" s="55"/>
    </row>
    <row r="786" spans="1:1" ht="16.5" customHeight="1" x14ac:dyDescent="0.2">
      <c r="A786" s="55"/>
    </row>
    <row r="787" spans="1:1" ht="16.5" customHeight="1" x14ac:dyDescent="0.2">
      <c r="A787" s="55"/>
    </row>
    <row r="788" spans="1:1" ht="16.5" customHeight="1" x14ac:dyDescent="0.2">
      <c r="A788" s="55"/>
    </row>
    <row r="789" spans="1:1" ht="16.5" customHeight="1" x14ac:dyDescent="0.2">
      <c r="A789" s="55"/>
    </row>
    <row r="790" spans="1:1" ht="16.5" customHeight="1" x14ac:dyDescent="0.2">
      <c r="A790" s="55"/>
    </row>
    <row r="791" spans="1:1" ht="16.5" customHeight="1" x14ac:dyDescent="0.2">
      <c r="A791" s="55"/>
    </row>
    <row r="792" spans="1:1" ht="16.5" customHeight="1" x14ac:dyDescent="0.2">
      <c r="A792" s="55"/>
    </row>
    <row r="793" spans="1:1" ht="16.5" customHeight="1" x14ac:dyDescent="0.2">
      <c r="A793" s="55"/>
    </row>
    <row r="794" spans="1:1" ht="16.5" customHeight="1" x14ac:dyDescent="0.2">
      <c r="A794" s="55"/>
    </row>
    <row r="795" spans="1:1" ht="16.5" customHeight="1" x14ac:dyDescent="0.2">
      <c r="A795" s="55"/>
    </row>
    <row r="796" spans="1:1" ht="16.5" customHeight="1" x14ac:dyDescent="0.2">
      <c r="A796" s="55"/>
    </row>
    <row r="797" spans="1:1" ht="16.5" customHeight="1" x14ac:dyDescent="0.2">
      <c r="A797" s="55"/>
    </row>
    <row r="798" spans="1:1" ht="16.5" customHeight="1" x14ac:dyDescent="0.2">
      <c r="A798" s="55"/>
    </row>
    <row r="799" spans="1:1" ht="16.5" customHeight="1" x14ac:dyDescent="0.2">
      <c r="A799" s="55"/>
    </row>
    <row r="800" spans="1:1" ht="16.5" customHeight="1" x14ac:dyDescent="0.2">
      <c r="A800" s="55"/>
    </row>
    <row r="801" spans="1:1" ht="16.5" customHeight="1" x14ac:dyDescent="0.2">
      <c r="A801" s="55"/>
    </row>
    <row r="802" spans="1:1" ht="16.5" customHeight="1" x14ac:dyDescent="0.2">
      <c r="A802" s="55"/>
    </row>
    <row r="803" spans="1:1" ht="16.5" customHeight="1" x14ac:dyDescent="0.2">
      <c r="A803" s="55"/>
    </row>
    <row r="804" spans="1:1" ht="16.5" customHeight="1" x14ac:dyDescent="0.2">
      <c r="A804" s="55"/>
    </row>
    <row r="805" spans="1:1" ht="16.5" customHeight="1" x14ac:dyDescent="0.2">
      <c r="A805" s="55"/>
    </row>
    <row r="806" spans="1:1" ht="16.5" customHeight="1" x14ac:dyDescent="0.2">
      <c r="A806" s="55"/>
    </row>
    <row r="807" spans="1:1" ht="16.5" customHeight="1" x14ac:dyDescent="0.2">
      <c r="A807" s="55"/>
    </row>
    <row r="808" spans="1:1" ht="16.5" customHeight="1" x14ac:dyDescent="0.2">
      <c r="A808" s="55"/>
    </row>
    <row r="809" spans="1:1" ht="16.5" customHeight="1" x14ac:dyDescent="0.2">
      <c r="A809" s="55"/>
    </row>
    <row r="810" spans="1:1" ht="16.5" customHeight="1" x14ac:dyDescent="0.2">
      <c r="A810" s="55"/>
    </row>
    <row r="811" spans="1:1" ht="16.5" customHeight="1" x14ac:dyDescent="0.2">
      <c r="A811" s="55"/>
    </row>
    <row r="812" spans="1:1" ht="16.5" customHeight="1" x14ac:dyDescent="0.2">
      <c r="A812" s="55"/>
    </row>
    <row r="813" spans="1:1" ht="16.5" customHeight="1" x14ac:dyDescent="0.2">
      <c r="A813" s="55"/>
    </row>
    <row r="814" spans="1:1" ht="16.5" customHeight="1" x14ac:dyDescent="0.2">
      <c r="A814" s="55"/>
    </row>
    <row r="815" spans="1:1" ht="16.5" customHeight="1" x14ac:dyDescent="0.2">
      <c r="A815" s="55"/>
    </row>
    <row r="816" spans="1:1" ht="16.5" customHeight="1" x14ac:dyDescent="0.2">
      <c r="A816" s="55"/>
    </row>
    <row r="817" spans="1:1" ht="16.5" customHeight="1" x14ac:dyDescent="0.2">
      <c r="A817" s="55"/>
    </row>
    <row r="818" spans="1:1" ht="16.5" customHeight="1" x14ac:dyDescent="0.2">
      <c r="A818" s="55"/>
    </row>
    <row r="819" spans="1:1" ht="16.5" customHeight="1" x14ac:dyDescent="0.2">
      <c r="A819" s="55"/>
    </row>
    <row r="820" spans="1:1" ht="16.5" customHeight="1" x14ac:dyDescent="0.2">
      <c r="A820" s="55"/>
    </row>
    <row r="821" spans="1:1" ht="16.5" customHeight="1" x14ac:dyDescent="0.2">
      <c r="A821" s="55"/>
    </row>
    <row r="822" spans="1:1" ht="16.5" customHeight="1" x14ac:dyDescent="0.2">
      <c r="A822" s="55"/>
    </row>
    <row r="823" spans="1:1" ht="16.5" customHeight="1" x14ac:dyDescent="0.2">
      <c r="A823" s="55"/>
    </row>
    <row r="824" spans="1:1" ht="16.5" customHeight="1" x14ac:dyDescent="0.2">
      <c r="A824" s="55"/>
    </row>
    <row r="825" spans="1:1" ht="16.5" customHeight="1" x14ac:dyDescent="0.2">
      <c r="A825" s="55"/>
    </row>
    <row r="826" spans="1:1" ht="16.5" customHeight="1" x14ac:dyDescent="0.2">
      <c r="A826" s="55"/>
    </row>
    <row r="827" spans="1:1" ht="16.5" customHeight="1" x14ac:dyDescent="0.2">
      <c r="A827" s="55"/>
    </row>
    <row r="828" spans="1:1" ht="16.5" customHeight="1" x14ac:dyDescent="0.2">
      <c r="A828" s="55"/>
    </row>
    <row r="829" spans="1:1" ht="16.5" customHeight="1" x14ac:dyDescent="0.2">
      <c r="A829" s="55"/>
    </row>
    <row r="830" spans="1:1" ht="16.5" customHeight="1" x14ac:dyDescent="0.2">
      <c r="A830" s="55"/>
    </row>
    <row r="831" spans="1:1" ht="16.5" customHeight="1" x14ac:dyDescent="0.2">
      <c r="A831" s="55"/>
    </row>
    <row r="832" spans="1:1" ht="16.5" customHeight="1" x14ac:dyDescent="0.2">
      <c r="A832" s="55"/>
    </row>
    <row r="833" spans="1:1" ht="16.5" customHeight="1" x14ac:dyDescent="0.2">
      <c r="A833" s="55"/>
    </row>
    <row r="834" spans="1:1" ht="16.5" customHeight="1" x14ac:dyDescent="0.2">
      <c r="A834" s="55"/>
    </row>
    <row r="835" spans="1:1" ht="16.5" customHeight="1" x14ac:dyDescent="0.2">
      <c r="A835" s="55"/>
    </row>
    <row r="836" spans="1:1" ht="16.5" customHeight="1" x14ac:dyDescent="0.2">
      <c r="A836" s="55"/>
    </row>
    <row r="837" spans="1:1" ht="16.5" customHeight="1" x14ac:dyDescent="0.2">
      <c r="A837" s="55"/>
    </row>
    <row r="838" spans="1:1" ht="16.5" customHeight="1" x14ac:dyDescent="0.2">
      <c r="A838" s="55"/>
    </row>
    <row r="839" spans="1:1" ht="16.5" customHeight="1" x14ac:dyDescent="0.2">
      <c r="A839" s="55"/>
    </row>
    <row r="840" spans="1:1" ht="16.5" customHeight="1" x14ac:dyDescent="0.2">
      <c r="A840" s="55"/>
    </row>
    <row r="841" spans="1:1" ht="16.5" customHeight="1" x14ac:dyDescent="0.2">
      <c r="A841" s="55"/>
    </row>
    <row r="842" spans="1:1" ht="16.5" customHeight="1" x14ac:dyDescent="0.2">
      <c r="A842" s="55"/>
    </row>
    <row r="843" spans="1:1" ht="16.5" customHeight="1" x14ac:dyDescent="0.2">
      <c r="A843" s="55"/>
    </row>
    <row r="844" spans="1:1" ht="16.5" customHeight="1" x14ac:dyDescent="0.2">
      <c r="A844" s="55"/>
    </row>
    <row r="845" spans="1:1" ht="16.5" customHeight="1" x14ac:dyDescent="0.2">
      <c r="A845" s="55"/>
    </row>
    <row r="846" spans="1:1" ht="16.5" customHeight="1" x14ac:dyDescent="0.2">
      <c r="A846" s="55"/>
    </row>
    <row r="847" spans="1:1" ht="16.5" customHeight="1" x14ac:dyDescent="0.2">
      <c r="A847" s="55"/>
    </row>
    <row r="848" spans="1:1" ht="16.5" customHeight="1" x14ac:dyDescent="0.2">
      <c r="A848" s="55"/>
    </row>
    <row r="849" spans="1:1" ht="16.5" customHeight="1" x14ac:dyDescent="0.2">
      <c r="A849" s="55"/>
    </row>
    <row r="850" spans="1:1" ht="16.5" customHeight="1" x14ac:dyDescent="0.2">
      <c r="A850" s="55"/>
    </row>
    <row r="851" spans="1:1" ht="16.5" customHeight="1" x14ac:dyDescent="0.2">
      <c r="A851" s="55"/>
    </row>
    <row r="852" spans="1:1" ht="16.5" customHeight="1" x14ac:dyDescent="0.2">
      <c r="A852" s="55"/>
    </row>
    <row r="853" spans="1:1" ht="16.5" customHeight="1" x14ac:dyDescent="0.2">
      <c r="A853" s="55"/>
    </row>
    <row r="854" spans="1:1" ht="16.5" customHeight="1" x14ac:dyDescent="0.2">
      <c r="A854" s="55"/>
    </row>
    <row r="855" spans="1:1" ht="16.5" customHeight="1" x14ac:dyDescent="0.2">
      <c r="A855" s="55"/>
    </row>
    <row r="856" spans="1:1" ht="16.5" customHeight="1" x14ac:dyDescent="0.2">
      <c r="A856" s="55"/>
    </row>
    <row r="857" spans="1:1" ht="16.5" customHeight="1" x14ac:dyDescent="0.2">
      <c r="A857" s="55"/>
    </row>
    <row r="858" spans="1:1" ht="16.5" customHeight="1" x14ac:dyDescent="0.2">
      <c r="A858" s="55"/>
    </row>
    <row r="859" spans="1:1" ht="16.5" customHeight="1" x14ac:dyDescent="0.2">
      <c r="A859" s="55"/>
    </row>
    <row r="860" spans="1:1" ht="16.5" customHeight="1" x14ac:dyDescent="0.2">
      <c r="A860" s="55"/>
    </row>
    <row r="861" spans="1:1" ht="16.5" customHeight="1" x14ac:dyDescent="0.2">
      <c r="A861" s="55"/>
    </row>
    <row r="862" spans="1:1" ht="16.5" customHeight="1" x14ac:dyDescent="0.2">
      <c r="A862" s="55"/>
    </row>
    <row r="863" spans="1:1" ht="16.5" customHeight="1" x14ac:dyDescent="0.2">
      <c r="A863" s="55"/>
    </row>
    <row r="864" spans="1:1" ht="16.5" customHeight="1" x14ac:dyDescent="0.2">
      <c r="A864" s="55"/>
    </row>
    <row r="865" spans="1:1" ht="16.5" customHeight="1" x14ac:dyDescent="0.2">
      <c r="A865" s="55"/>
    </row>
    <row r="866" spans="1:1" ht="16.5" customHeight="1" x14ac:dyDescent="0.2">
      <c r="A866" s="55"/>
    </row>
    <row r="867" spans="1:1" ht="16.5" customHeight="1" x14ac:dyDescent="0.2">
      <c r="A867" s="55"/>
    </row>
    <row r="868" spans="1:1" ht="16.5" customHeight="1" x14ac:dyDescent="0.2">
      <c r="A868" s="55"/>
    </row>
    <row r="869" spans="1:1" ht="16.5" customHeight="1" x14ac:dyDescent="0.2">
      <c r="A869" s="55"/>
    </row>
    <row r="870" spans="1:1" ht="16.5" customHeight="1" x14ac:dyDescent="0.2">
      <c r="A870" s="55"/>
    </row>
    <row r="871" spans="1:1" ht="16.5" customHeight="1" x14ac:dyDescent="0.2">
      <c r="A871" s="55"/>
    </row>
    <row r="872" spans="1:1" ht="16.5" customHeight="1" x14ac:dyDescent="0.2">
      <c r="A872" s="55"/>
    </row>
    <row r="873" spans="1:1" ht="16.5" customHeight="1" x14ac:dyDescent="0.2">
      <c r="A873" s="55"/>
    </row>
    <row r="874" spans="1:1" ht="16.5" customHeight="1" x14ac:dyDescent="0.2">
      <c r="A874" s="55"/>
    </row>
    <row r="875" spans="1:1" ht="16.5" customHeight="1" x14ac:dyDescent="0.2">
      <c r="A875" s="55"/>
    </row>
    <row r="876" spans="1:1" ht="16.5" customHeight="1" x14ac:dyDescent="0.2">
      <c r="A876" s="55"/>
    </row>
    <row r="877" spans="1:1" ht="16.5" customHeight="1" x14ac:dyDescent="0.2">
      <c r="A877" s="55"/>
    </row>
    <row r="878" spans="1:1" ht="16.5" customHeight="1" x14ac:dyDescent="0.2">
      <c r="A878" s="55"/>
    </row>
    <row r="879" spans="1:1" ht="16.5" customHeight="1" x14ac:dyDescent="0.2">
      <c r="A879" s="55"/>
    </row>
    <row r="880" spans="1:1" ht="16.5" customHeight="1" x14ac:dyDescent="0.2">
      <c r="A880" s="55"/>
    </row>
    <row r="881" spans="1:1" ht="16.5" customHeight="1" x14ac:dyDescent="0.2">
      <c r="A881" s="55"/>
    </row>
    <row r="882" spans="1:1" ht="16.5" customHeight="1" x14ac:dyDescent="0.2">
      <c r="A882" s="55"/>
    </row>
    <row r="883" spans="1:1" ht="16.5" customHeight="1" x14ac:dyDescent="0.2">
      <c r="A883" s="55"/>
    </row>
    <row r="884" spans="1:1" ht="16.5" customHeight="1" x14ac:dyDescent="0.2">
      <c r="A884" s="55"/>
    </row>
    <row r="885" spans="1:1" ht="16.5" customHeight="1" x14ac:dyDescent="0.2">
      <c r="A885" s="55"/>
    </row>
    <row r="886" spans="1:1" ht="16.5" customHeight="1" x14ac:dyDescent="0.2">
      <c r="A886" s="55"/>
    </row>
    <row r="887" spans="1:1" ht="16.5" customHeight="1" x14ac:dyDescent="0.2">
      <c r="A887" s="55"/>
    </row>
    <row r="888" spans="1:1" ht="16.5" customHeight="1" x14ac:dyDescent="0.2">
      <c r="A888" s="55"/>
    </row>
    <row r="889" spans="1:1" ht="16.5" customHeight="1" x14ac:dyDescent="0.2">
      <c r="A889" s="55"/>
    </row>
    <row r="890" spans="1:1" ht="16.5" customHeight="1" x14ac:dyDescent="0.2">
      <c r="A890" s="55"/>
    </row>
    <row r="891" spans="1:1" ht="16.5" customHeight="1" x14ac:dyDescent="0.2">
      <c r="A891" s="55"/>
    </row>
    <row r="892" spans="1:1" ht="16.5" customHeight="1" x14ac:dyDescent="0.2">
      <c r="A892" s="55"/>
    </row>
    <row r="893" spans="1:1" ht="16.5" customHeight="1" x14ac:dyDescent="0.2">
      <c r="A893" s="55"/>
    </row>
    <row r="894" spans="1:1" ht="16.5" customHeight="1" x14ac:dyDescent="0.2">
      <c r="A894" s="55"/>
    </row>
    <row r="895" spans="1:1" ht="16.5" customHeight="1" x14ac:dyDescent="0.2">
      <c r="A895" s="55"/>
    </row>
    <row r="896" spans="1:1" ht="16.5" customHeight="1" x14ac:dyDescent="0.2">
      <c r="A896" s="55"/>
    </row>
    <row r="897" spans="1:1" ht="16.5" customHeight="1" x14ac:dyDescent="0.2">
      <c r="A897" s="55"/>
    </row>
    <row r="898" spans="1:1" ht="16.5" customHeight="1" x14ac:dyDescent="0.2">
      <c r="A898" s="55"/>
    </row>
    <row r="899" spans="1:1" ht="16.5" customHeight="1" x14ac:dyDescent="0.2">
      <c r="A899" s="55"/>
    </row>
    <row r="900" spans="1:1" ht="16.5" customHeight="1" x14ac:dyDescent="0.2">
      <c r="A900" s="55"/>
    </row>
    <row r="901" spans="1:1" ht="16.5" customHeight="1" x14ac:dyDescent="0.2">
      <c r="A901" s="55"/>
    </row>
    <row r="902" spans="1:1" ht="16.5" customHeight="1" x14ac:dyDescent="0.2">
      <c r="A902" s="55"/>
    </row>
    <row r="903" spans="1:1" ht="16.5" customHeight="1" x14ac:dyDescent="0.2">
      <c r="A903" s="55"/>
    </row>
    <row r="904" spans="1:1" ht="16.5" customHeight="1" x14ac:dyDescent="0.2">
      <c r="A904" s="55"/>
    </row>
    <row r="905" spans="1:1" ht="16.5" customHeight="1" x14ac:dyDescent="0.2">
      <c r="A905" s="55"/>
    </row>
    <row r="906" spans="1:1" ht="16.5" customHeight="1" x14ac:dyDescent="0.2">
      <c r="A906" s="55"/>
    </row>
    <row r="907" spans="1:1" ht="16.5" customHeight="1" x14ac:dyDescent="0.2">
      <c r="A907" s="55"/>
    </row>
    <row r="908" spans="1:1" ht="16.5" customHeight="1" x14ac:dyDescent="0.2">
      <c r="A908" s="55"/>
    </row>
    <row r="909" spans="1:1" ht="16.5" customHeight="1" x14ac:dyDescent="0.2">
      <c r="A909" s="55"/>
    </row>
    <row r="910" spans="1:1" ht="16.5" customHeight="1" x14ac:dyDescent="0.2">
      <c r="A910" s="55"/>
    </row>
    <row r="911" spans="1:1" ht="16.5" customHeight="1" x14ac:dyDescent="0.2">
      <c r="A911" s="55"/>
    </row>
    <row r="912" spans="1:1" ht="16.5" customHeight="1" x14ac:dyDescent="0.2">
      <c r="A912" s="55"/>
    </row>
    <row r="913" spans="1:1" ht="16.5" customHeight="1" x14ac:dyDescent="0.2">
      <c r="A913" s="55"/>
    </row>
    <row r="914" spans="1:1" ht="16.5" customHeight="1" x14ac:dyDescent="0.2">
      <c r="A914" s="55"/>
    </row>
    <row r="915" spans="1:1" ht="16.5" customHeight="1" x14ac:dyDescent="0.2">
      <c r="A915" s="55"/>
    </row>
    <row r="916" spans="1:1" ht="16.5" customHeight="1" x14ac:dyDescent="0.2">
      <c r="A916" s="55"/>
    </row>
    <row r="917" spans="1:1" ht="16.5" customHeight="1" x14ac:dyDescent="0.2">
      <c r="A917" s="55"/>
    </row>
    <row r="918" spans="1:1" ht="16.5" customHeight="1" x14ac:dyDescent="0.2">
      <c r="A918" s="55"/>
    </row>
    <row r="919" spans="1:1" ht="16.5" customHeight="1" x14ac:dyDescent="0.2">
      <c r="A919" s="55"/>
    </row>
    <row r="920" spans="1:1" ht="16.5" customHeight="1" x14ac:dyDescent="0.2">
      <c r="A920" s="55"/>
    </row>
    <row r="921" spans="1:1" ht="16.5" customHeight="1" x14ac:dyDescent="0.2">
      <c r="A921" s="55"/>
    </row>
    <row r="922" spans="1:1" ht="16.5" customHeight="1" x14ac:dyDescent="0.2">
      <c r="A922" s="55"/>
    </row>
    <row r="923" spans="1:1" ht="16.5" customHeight="1" x14ac:dyDescent="0.2">
      <c r="A923" s="55"/>
    </row>
    <row r="924" spans="1:1" ht="16.5" customHeight="1" x14ac:dyDescent="0.2">
      <c r="A924" s="55"/>
    </row>
    <row r="925" spans="1:1" ht="16.5" customHeight="1" x14ac:dyDescent="0.2">
      <c r="A925" s="55"/>
    </row>
    <row r="926" spans="1:1" ht="16.5" customHeight="1" x14ac:dyDescent="0.2">
      <c r="A926" s="55"/>
    </row>
    <row r="927" spans="1:1" ht="16.5" customHeight="1" x14ac:dyDescent="0.2">
      <c r="A927" s="55"/>
    </row>
    <row r="928" spans="1:1" ht="16.5" customHeight="1" x14ac:dyDescent="0.2">
      <c r="A928" s="55"/>
    </row>
    <row r="929" spans="1:1" ht="16.5" customHeight="1" x14ac:dyDescent="0.2">
      <c r="A929" s="55"/>
    </row>
    <row r="930" spans="1:1" ht="16.5" customHeight="1" x14ac:dyDescent="0.2">
      <c r="A930" s="55"/>
    </row>
    <row r="931" spans="1:1" ht="16.5" customHeight="1" x14ac:dyDescent="0.2">
      <c r="A931" s="55"/>
    </row>
    <row r="932" spans="1:1" ht="16.5" customHeight="1" x14ac:dyDescent="0.2">
      <c r="A932" s="55"/>
    </row>
    <row r="933" spans="1:1" ht="16.5" customHeight="1" x14ac:dyDescent="0.2">
      <c r="A933" s="55"/>
    </row>
    <row r="934" spans="1:1" ht="16.5" customHeight="1" x14ac:dyDescent="0.2">
      <c r="A934" s="55"/>
    </row>
    <row r="935" spans="1:1" ht="16.5" customHeight="1" x14ac:dyDescent="0.2">
      <c r="A935" s="55"/>
    </row>
    <row r="936" spans="1:1" ht="16.5" customHeight="1" x14ac:dyDescent="0.2">
      <c r="A936" s="55"/>
    </row>
    <row r="937" spans="1:1" ht="16.5" customHeight="1" x14ac:dyDescent="0.2">
      <c r="A937" s="55"/>
    </row>
    <row r="938" spans="1:1" ht="16.5" customHeight="1" x14ac:dyDescent="0.2">
      <c r="A938" s="55"/>
    </row>
    <row r="939" spans="1:1" ht="16.5" customHeight="1" x14ac:dyDescent="0.2">
      <c r="A939" s="55"/>
    </row>
    <row r="940" spans="1:1" ht="16.5" customHeight="1" x14ac:dyDescent="0.2">
      <c r="A940" s="55"/>
    </row>
    <row r="941" spans="1:1" ht="16.5" customHeight="1" x14ac:dyDescent="0.2">
      <c r="A941" s="55"/>
    </row>
    <row r="942" spans="1:1" ht="16.5" customHeight="1" x14ac:dyDescent="0.2">
      <c r="A942" s="55"/>
    </row>
    <row r="943" spans="1:1" ht="16.5" customHeight="1" x14ac:dyDescent="0.2">
      <c r="A943" s="55"/>
    </row>
    <row r="944" spans="1:1" ht="16.5" customHeight="1" x14ac:dyDescent="0.2">
      <c r="A944" s="55"/>
    </row>
    <row r="945" spans="1:1" ht="16.5" customHeight="1" x14ac:dyDescent="0.2">
      <c r="A945" s="55"/>
    </row>
    <row r="946" spans="1:1" ht="16.5" customHeight="1" x14ac:dyDescent="0.2">
      <c r="A946" s="55"/>
    </row>
    <row r="947" spans="1:1" ht="16.5" customHeight="1" x14ac:dyDescent="0.2">
      <c r="A947" s="55"/>
    </row>
    <row r="948" spans="1:1" ht="16.5" customHeight="1" x14ac:dyDescent="0.2">
      <c r="A948" s="55"/>
    </row>
    <row r="949" spans="1:1" ht="16.5" customHeight="1" x14ac:dyDescent="0.2">
      <c r="A949" s="55"/>
    </row>
    <row r="950" spans="1:1" ht="16.5" customHeight="1" x14ac:dyDescent="0.2">
      <c r="A950" s="55"/>
    </row>
    <row r="951" spans="1:1" ht="16.5" customHeight="1" x14ac:dyDescent="0.2">
      <c r="A951" s="55"/>
    </row>
    <row r="952" spans="1:1" ht="16.5" customHeight="1" x14ac:dyDescent="0.2">
      <c r="A952" s="55"/>
    </row>
    <row r="953" spans="1:1" ht="16.5" customHeight="1" x14ac:dyDescent="0.2">
      <c r="A953" s="55"/>
    </row>
    <row r="954" spans="1:1" ht="16.5" customHeight="1" x14ac:dyDescent="0.2">
      <c r="A954" s="55"/>
    </row>
    <row r="955" spans="1:1" ht="16.5" customHeight="1" x14ac:dyDescent="0.2">
      <c r="A955" s="55"/>
    </row>
    <row r="956" spans="1:1" ht="16.5" customHeight="1" x14ac:dyDescent="0.2">
      <c r="A956" s="55"/>
    </row>
    <row r="957" spans="1:1" ht="16.5" customHeight="1" x14ac:dyDescent="0.2">
      <c r="A957" s="55"/>
    </row>
    <row r="958" spans="1:1" ht="16.5" customHeight="1" x14ac:dyDescent="0.2">
      <c r="A958" s="55"/>
    </row>
    <row r="959" spans="1:1" ht="16.5" customHeight="1" x14ac:dyDescent="0.2">
      <c r="A959" s="55"/>
    </row>
    <row r="960" spans="1:1" ht="16.5" customHeight="1" x14ac:dyDescent="0.2">
      <c r="A960" s="55"/>
    </row>
    <row r="961" spans="1:1" ht="16.5" customHeight="1" x14ac:dyDescent="0.2">
      <c r="A961" s="55"/>
    </row>
    <row r="962" spans="1:1" ht="16.5" customHeight="1" x14ac:dyDescent="0.2">
      <c r="A962" s="55"/>
    </row>
    <row r="963" spans="1:1" ht="16.5" customHeight="1" x14ac:dyDescent="0.2">
      <c r="A963" s="55"/>
    </row>
    <row r="964" spans="1:1" ht="16.5" customHeight="1" x14ac:dyDescent="0.2">
      <c r="A964" s="55"/>
    </row>
    <row r="965" spans="1:1" ht="16.5" customHeight="1" x14ac:dyDescent="0.2">
      <c r="A965" s="55"/>
    </row>
    <row r="966" spans="1:1" ht="16.5" customHeight="1" x14ac:dyDescent="0.2">
      <c r="A966" s="55"/>
    </row>
    <row r="967" spans="1:1" ht="16.5" customHeight="1" x14ac:dyDescent="0.2">
      <c r="A967" s="55"/>
    </row>
    <row r="968" spans="1:1" ht="16.5" customHeight="1" x14ac:dyDescent="0.2">
      <c r="A968" s="55"/>
    </row>
    <row r="969" spans="1:1" ht="16.5" customHeight="1" x14ac:dyDescent="0.2">
      <c r="A969" s="55"/>
    </row>
    <row r="970" spans="1:1" ht="16.5" customHeight="1" x14ac:dyDescent="0.2">
      <c r="A970" s="55"/>
    </row>
    <row r="971" spans="1:1" ht="16.5" customHeight="1" x14ac:dyDescent="0.2">
      <c r="A971" s="55"/>
    </row>
    <row r="972" spans="1:1" ht="16.5" customHeight="1" x14ac:dyDescent="0.2">
      <c r="A972" s="55"/>
    </row>
    <row r="973" spans="1:1" ht="16.5" customHeight="1" x14ac:dyDescent="0.2">
      <c r="A973" s="55"/>
    </row>
    <row r="974" spans="1:1" ht="16.5" customHeight="1" x14ac:dyDescent="0.2">
      <c r="A974" s="55"/>
    </row>
    <row r="975" spans="1:1" ht="16.5" customHeight="1" x14ac:dyDescent="0.2">
      <c r="A975" s="55"/>
    </row>
    <row r="976" spans="1:1" ht="16.5" customHeight="1" x14ac:dyDescent="0.2">
      <c r="A976" s="55"/>
    </row>
    <row r="977" spans="1:1" ht="16.5" customHeight="1" x14ac:dyDescent="0.2">
      <c r="A977" s="55"/>
    </row>
    <row r="978" spans="1:1" ht="16.5" customHeight="1" x14ac:dyDescent="0.2">
      <c r="A978" s="55"/>
    </row>
    <row r="979" spans="1:1" ht="16.5" customHeight="1" x14ac:dyDescent="0.2">
      <c r="A979" s="55"/>
    </row>
    <row r="980" spans="1:1" ht="16.5" customHeight="1" x14ac:dyDescent="0.2">
      <c r="A980" s="55"/>
    </row>
    <row r="981" spans="1:1" ht="16.5" customHeight="1" x14ac:dyDescent="0.2">
      <c r="A981" s="55"/>
    </row>
    <row r="982" spans="1:1" ht="16.5" customHeight="1" x14ac:dyDescent="0.2">
      <c r="A982" s="55"/>
    </row>
    <row r="983" spans="1:1" ht="16.5" customHeight="1" x14ac:dyDescent="0.2">
      <c r="A983" s="55"/>
    </row>
    <row r="984" spans="1:1" ht="16.5" customHeight="1" x14ac:dyDescent="0.2">
      <c r="A984" s="55"/>
    </row>
    <row r="985" spans="1:1" ht="16.5" customHeight="1" x14ac:dyDescent="0.2">
      <c r="A985" s="55"/>
    </row>
    <row r="986" spans="1:1" ht="16.5" customHeight="1" x14ac:dyDescent="0.2">
      <c r="A986" s="55"/>
    </row>
    <row r="987" spans="1:1" ht="16.5" customHeight="1" x14ac:dyDescent="0.2">
      <c r="A987" s="55"/>
    </row>
    <row r="988" spans="1:1" ht="16.5" customHeight="1" x14ac:dyDescent="0.2">
      <c r="A988" s="55"/>
    </row>
    <row r="989" spans="1:1" ht="16.5" customHeight="1" x14ac:dyDescent="0.2">
      <c r="A989" s="55"/>
    </row>
    <row r="990" spans="1:1" ht="16.5" customHeight="1" x14ac:dyDescent="0.2">
      <c r="A990" s="55"/>
    </row>
    <row r="991" spans="1:1" ht="16.5" customHeight="1" x14ac:dyDescent="0.2">
      <c r="A991" s="55"/>
    </row>
    <row r="992" spans="1:1" ht="16.5" customHeight="1" x14ac:dyDescent="0.2">
      <c r="A992" s="55"/>
    </row>
    <row r="993" spans="1:1" ht="16.5" customHeight="1" x14ac:dyDescent="0.2">
      <c r="A993" s="55"/>
    </row>
    <row r="994" spans="1:1" ht="16.5" customHeight="1" x14ac:dyDescent="0.2">
      <c r="A994" s="55"/>
    </row>
    <row r="995" spans="1:1" ht="16.5" customHeight="1" x14ac:dyDescent="0.2">
      <c r="A995" s="55"/>
    </row>
    <row r="996" spans="1:1" ht="16.5" customHeight="1" x14ac:dyDescent="0.2">
      <c r="A996" s="55"/>
    </row>
    <row r="997" spans="1:1" ht="16.5" customHeight="1" x14ac:dyDescent="0.2">
      <c r="A997" s="55"/>
    </row>
    <row r="998" spans="1:1" ht="16.5" customHeight="1" x14ac:dyDescent="0.2">
      <c r="A998" s="55"/>
    </row>
    <row r="999" spans="1:1" ht="16.5" customHeight="1" x14ac:dyDescent="0.2">
      <c r="A999" s="55"/>
    </row>
    <row r="1000" spans="1:1" ht="16.5" customHeight="1" x14ac:dyDescent="0.2">
      <c r="A1000" s="55"/>
    </row>
  </sheetData>
  <conditionalFormatting sqref="A82:A124 A163:A164 A168:A214">
    <cfRule type="cellIs" dxfId="142" priority="1" operator="lessThan">
      <formula>0</formula>
    </cfRule>
  </conditionalFormatting>
  <conditionalFormatting sqref="A253:A263">
    <cfRule type="cellIs" dxfId="141" priority="2" operator="lessThan">
      <formula>0</formula>
    </cfRule>
  </conditionalFormatting>
  <conditionalFormatting sqref="D75 C93:C94 D95:D96 C97:C120">
    <cfRule type="cellIs" dxfId="140" priority="3" operator="lessThan">
      <formula>0</formula>
    </cfRule>
  </conditionalFormatting>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7D2D8"/>
  </sheetPr>
  <dimension ref="A1:AA1000"/>
  <sheetViews>
    <sheetView zoomScale="62" zoomScaleNormal="71" workbookViewId="0">
      <pane ySplit="1" topLeftCell="A4" activePane="bottomLeft" state="frozen"/>
      <selection pane="bottomLeft" activeCell="F2" sqref="F2"/>
    </sheetView>
  </sheetViews>
  <sheetFormatPr baseColWidth="10" defaultColWidth="14.5" defaultRowHeight="15" customHeight="1" x14ac:dyDescent="0.2"/>
  <cols>
    <col min="1" max="1" width="46.6640625" customWidth="1"/>
    <col min="2" max="2" width="14" customWidth="1"/>
    <col min="3" max="3" width="12.83203125" customWidth="1"/>
    <col min="4" max="4" width="25.83203125" customWidth="1"/>
    <col min="5" max="5" width="247.5" hidden="1" customWidth="1"/>
    <col min="6" max="6" width="45.83203125" customWidth="1"/>
    <col min="7" max="7" width="68.33203125" customWidth="1"/>
    <col min="8" max="27" width="10.83203125" customWidth="1"/>
  </cols>
  <sheetData>
    <row r="1" spans="1:7" ht="14.25" customHeight="1" x14ac:dyDescent="0.2">
      <c r="A1" s="75" t="s">
        <v>330</v>
      </c>
      <c r="B1" s="76" t="s">
        <v>331</v>
      </c>
      <c r="C1" s="77" t="s">
        <v>332</v>
      </c>
      <c r="D1" s="78" t="s">
        <v>333</v>
      </c>
      <c r="E1" s="79" t="s">
        <v>334</v>
      </c>
      <c r="F1" s="80" t="s">
        <v>335</v>
      </c>
      <c r="G1" s="81" t="s">
        <v>336</v>
      </c>
    </row>
    <row r="2" spans="1:7" ht="213" customHeight="1" x14ac:dyDescent="0.2">
      <c r="A2" s="82" t="e" vm="1">
        <v>#VALUE!</v>
      </c>
      <c r="B2" s="83">
        <v>0.75</v>
      </c>
      <c r="C2" s="575">
        <v>45980</v>
      </c>
      <c r="D2" s="587" t="s">
        <v>2778</v>
      </c>
    </row>
    <row r="3" spans="1:7" ht="194.5" customHeight="1" x14ac:dyDescent="0.2">
      <c r="A3" s="82" t="e" vm="2">
        <v>#VALUE!</v>
      </c>
      <c r="B3" s="83">
        <v>0.5</v>
      </c>
      <c r="C3" s="575">
        <v>45980</v>
      </c>
      <c r="D3" s="85" t="s">
        <v>2779</v>
      </c>
      <c r="E3" s="85"/>
    </row>
    <row r="4" spans="1:7" ht="217" customHeight="1" x14ac:dyDescent="0.2">
      <c r="A4" s="82" t="e" vm="3">
        <v>#VALUE!</v>
      </c>
      <c r="B4" s="83">
        <v>2.5</v>
      </c>
      <c r="C4" s="586">
        <v>45971</v>
      </c>
      <c r="D4" s="85" t="s">
        <v>2777</v>
      </c>
      <c r="E4" s="85"/>
      <c r="F4" s="605"/>
      <c r="G4" s="587" t="s">
        <v>2775</v>
      </c>
    </row>
    <row r="5" spans="1:7" ht="199.5" customHeight="1" x14ac:dyDescent="0.2">
      <c r="A5" s="82"/>
      <c r="B5" s="83">
        <v>1.5</v>
      </c>
      <c r="C5" s="586">
        <v>45967</v>
      </c>
      <c r="D5" s="85" t="s">
        <v>2776</v>
      </c>
      <c r="E5" s="85"/>
      <c r="F5" s="605"/>
      <c r="G5" s="587" t="s">
        <v>2774</v>
      </c>
    </row>
    <row r="6" spans="1:7" ht="14.25" customHeight="1" x14ac:dyDescent="0.2">
      <c r="A6" s="82"/>
      <c r="B6" s="83"/>
      <c r="C6" s="84"/>
      <c r="D6" s="85"/>
      <c r="E6" s="85"/>
      <c r="F6" s="86"/>
    </row>
    <row r="7" spans="1:7" ht="14.25" customHeight="1" x14ac:dyDescent="0.2">
      <c r="A7" s="82"/>
      <c r="B7" s="83"/>
      <c r="C7" s="84"/>
      <c r="D7" s="85"/>
      <c r="E7" s="85"/>
      <c r="F7" s="86"/>
    </row>
    <row r="8" spans="1:7" ht="14.25" customHeight="1" x14ac:dyDescent="0.2">
      <c r="A8" s="82"/>
      <c r="B8" s="83"/>
      <c r="C8" s="84"/>
      <c r="D8" s="85"/>
      <c r="E8" s="85"/>
      <c r="F8" s="86"/>
    </row>
    <row r="9" spans="1:7" ht="14.25" customHeight="1" x14ac:dyDescent="0.2">
      <c r="A9" s="82"/>
      <c r="B9" s="83"/>
      <c r="C9" s="84"/>
      <c r="D9" s="85"/>
      <c r="E9" s="85"/>
    </row>
    <row r="10" spans="1:7" ht="14.25" customHeight="1" x14ac:dyDescent="0.2">
      <c r="A10" s="82"/>
      <c r="B10" s="83"/>
      <c r="C10" s="84"/>
      <c r="D10" s="85"/>
      <c r="E10" s="85"/>
    </row>
    <row r="11" spans="1:7" ht="14.25" customHeight="1" x14ac:dyDescent="0.2">
      <c r="A11" s="82"/>
      <c r="B11" s="83"/>
      <c r="C11" s="84"/>
      <c r="D11" s="85"/>
      <c r="E11" s="85"/>
      <c r="F11" s="86"/>
    </row>
    <row r="12" spans="1:7" ht="14.25" customHeight="1" x14ac:dyDescent="0.2">
      <c r="A12" s="82"/>
      <c r="B12" s="83"/>
      <c r="C12" s="84"/>
      <c r="D12" s="85"/>
      <c r="E12" s="85"/>
      <c r="F12" s="86"/>
    </row>
    <row r="13" spans="1:7" ht="14.25" customHeight="1" x14ac:dyDescent="0.2">
      <c r="A13" s="82"/>
      <c r="B13" s="83"/>
      <c r="C13" s="84"/>
      <c r="D13" s="85"/>
      <c r="E13" s="85"/>
    </row>
    <row r="14" spans="1:7" ht="14.25" customHeight="1" x14ac:dyDescent="0.2">
      <c r="A14" s="82"/>
      <c r="B14" s="83"/>
      <c r="C14" s="84"/>
      <c r="D14" s="85"/>
      <c r="E14" s="85"/>
      <c r="F14" s="86"/>
    </row>
    <row r="15" spans="1:7" ht="14.25" customHeight="1" x14ac:dyDescent="0.2">
      <c r="A15" s="82"/>
      <c r="B15" s="83"/>
      <c r="C15" s="84"/>
      <c r="D15" s="85"/>
      <c r="E15" s="85"/>
    </row>
    <row r="16" spans="1:7" ht="14.25" customHeight="1" x14ac:dyDescent="0.2">
      <c r="A16" s="82"/>
      <c r="B16" s="83"/>
      <c r="C16" s="84"/>
      <c r="D16" s="85"/>
      <c r="E16" s="85"/>
    </row>
    <row r="17" spans="1:6" ht="14.25" customHeight="1" x14ac:dyDescent="0.2">
      <c r="A17" s="82"/>
      <c r="B17" s="83"/>
      <c r="C17" s="84"/>
      <c r="D17" s="85"/>
      <c r="E17" s="85"/>
    </row>
    <row r="18" spans="1:6" ht="14.25" customHeight="1" x14ac:dyDescent="0.2">
      <c r="A18" s="82"/>
      <c r="B18" s="83"/>
      <c r="C18" s="84"/>
      <c r="D18" s="85"/>
      <c r="E18" s="85"/>
    </row>
    <row r="19" spans="1:6" ht="14.25" customHeight="1" x14ac:dyDescent="0.2">
      <c r="A19" s="82"/>
      <c r="B19" s="83"/>
      <c r="C19" s="84"/>
      <c r="D19" s="85"/>
      <c r="E19" s="85"/>
    </row>
    <row r="20" spans="1:6" ht="14.25" customHeight="1" x14ac:dyDescent="0.2">
      <c r="A20" s="82"/>
      <c r="B20" s="83"/>
      <c r="C20" s="84"/>
      <c r="D20" s="85"/>
      <c r="E20" s="85"/>
    </row>
    <row r="21" spans="1:6" ht="14.25" customHeight="1" x14ac:dyDescent="0.2">
      <c r="A21" s="82"/>
      <c r="B21" s="83"/>
      <c r="C21" s="84"/>
      <c r="D21" s="85"/>
      <c r="E21" s="85"/>
    </row>
    <row r="22" spans="1:6" ht="14.25" customHeight="1" x14ac:dyDescent="0.2">
      <c r="A22" s="82"/>
      <c r="B22" s="83"/>
      <c r="C22" s="84"/>
      <c r="D22" s="85"/>
      <c r="E22" s="85"/>
    </row>
    <row r="23" spans="1:6" ht="14.25" customHeight="1" x14ac:dyDescent="0.2">
      <c r="A23" s="82"/>
      <c r="B23" s="83"/>
      <c r="C23" s="84"/>
      <c r="D23" s="85"/>
      <c r="E23" s="85"/>
    </row>
    <row r="24" spans="1:6" ht="14.25" customHeight="1" x14ac:dyDescent="0.2">
      <c r="A24" s="82"/>
      <c r="B24" s="83"/>
      <c r="C24" s="84"/>
      <c r="D24" s="85"/>
      <c r="E24" s="85"/>
    </row>
    <row r="25" spans="1:6" ht="14.25" customHeight="1" x14ac:dyDescent="0.2">
      <c r="A25" s="82"/>
      <c r="B25" s="83"/>
      <c r="C25" s="84"/>
      <c r="D25" s="85"/>
      <c r="E25" s="85"/>
      <c r="F25" s="86"/>
    </row>
    <row r="26" spans="1:6" ht="14.25" customHeight="1" x14ac:dyDescent="0.2">
      <c r="A26" s="82"/>
      <c r="B26" s="83"/>
      <c r="C26" s="84"/>
      <c r="D26" s="85"/>
      <c r="E26" s="85"/>
    </row>
    <row r="27" spans="1:6" ht="14.25" customHeight="1" x14ac:dyDescent="0.2">
      <c r="A27" s="82"/>
      <c r="B27" s="83"/>
      <c r="C27" s="84"/>
      <c r="D27" s="85"/>
      <c r="E27" s="85"/>
    </row>
    <row r="28" spans="1:6" ht="14.25" customHeight="1" x14ac:dyDescent="0.2">
      <c r="A28" s="82"/>
      <c r="B28" s="83"/>
      <c r="C28" s="84"/>
      <c r="D28" s="85"/>
      <c r="E28" s="85"/>
    </row>
    <row r="29" spans="1:6" ht="14.25" customHeight="1" x14ac:dyDescent="0.2">
      <c r="A29" s="82"/>
      <c r="B29" s="83"/>
      <c r="C29" s="84"/>
      <c r="D29" s="85"/>
      <c r="E29" s="85"/>
      <c r="F29" s="86"/>
    </row>
    <row r="30" spans="1:6" ht="14.25" customHeight="1" x14ac:dyDescent="0.2">
      <c r="A30" s="82"/>
      <c r="B30" s="83"/>
      <c r="C30" s="84"/>
      <c r="D30" s="85"/>
      <c r="E30" s="85"/>
    </row>
    <row r="31" spans="1:6" ht="14.25" customHeight="1" x14ac:dyDescent="0.2">
      <c r="A31" s="82"/>
      <c r="B31" s="83"/>
      <c r="C31" s="84"/>
      <c r="D31" s="85"/>
      <c r="E31" s="85"/>
      <c r="F31" s="86"/>
    </row>
    <row r="32" spans="1:6" ht="14.25" customHeight="1" x14ac:dyDescent="0.2">
      <c r="A32" s="82"/>
      <c r="B32" s="83"/>
      <c r="C32" s="84"/>
      <c r="D32" s="85"/>
      <c r="E32" s="85"/>
    </row>
    <row r="33" spans="1:6" ht="14.25" customHeight="1" x14ac:dyDescent="0.2">
      <c r="A33" s="82"/>
      <c r="B33" s="83"/>
      <c r="C33" s="84"/>
      <c r="D33" s="85"/>
      <c r="E33" s="85"/>
    </row>
    <row r="34" spans="1:6" ht="14.25" customHeight="1" x14ac:dyDescent="0.2">
      <c r="A34" s="82"/>
      <c r="B34" s="83"/>
      <c r="C34" s="84"/>
      <c r="D34" s="85"/>
      <c r="E34" s="85"/>
    </row>
    <row r="35" spans="1:6" ht="14.25" customHeight="1" x14ac:dyDescent="0.2">
      <c r="A35" s="82"/>
      <c r="B35" s="83"/>
      <c r="C35" s="84"/>
      <c r="D35" s="85"/>
      <c r="E35" s="85"/>
      <c r="F35" s="86"/>
    </row>
    <row r="36" spans="1:6" ht="14.25" customHeight="1" x14ac:dyDescent="0.2">
      <c r="A36" s="82"/>
      <c r="B36" s="83"/>
      <c r="C36" s="84"/>
      <c r="D36" s="85"/>
      <c r="E36" s="85"/>
      <c r="F36" s="86"/>
    </row>
    <row r="37" spans="1:6" ht="14.25" customHeight="1" x14ac:dyDescent="0.2">
      <c r="A37" s="82"/>
      <c r="B37" s="83"/>
      <c r="C37" s="84"/>
      <c r="D37" s="85"/>
      <c r="E37" s="85"/>
      <c r="F37" s="86"/>
    </row>
    <row r="38" spans="1:6" ht="14.25" customHeight="1" x14ac:dyDescent="0.2">
      <c r="A38" s="82"/>
      <c r="B38" s="83"/>
      <c r="C38" s="84"/>
      <c r="D38" s="85"/>
      <c r="E38" s="85"/>
    </row>
    <row r="39" spans="1:6" ht="14.25" customHeight="1" x14ac:dyDescent="0.2">
      <c r="A39" s="82"/>
      <c r="B39" s="83"/>
      <c r="C39" s="84"/>
      <c r="D39" s="85"/>
      <c r="E39" s="85"/>
      <c r="F39" s="86"/>
    </row>
    <row r="40" spans="1:6" ht="14.25" customHeight="1" x14ac:dyDescent="0.2">
      <c r="A40" s="82"/>
      <c r="B40" s="83"/>
      <c r="C40" s="84"/>
      <c r="D40" s="85"/>
      <c r="E40" s="85"/>
      <c r="F40" s="86"/>
    </row>
    <row r="41" spans="1:6" ht="14.25" customHeight="1" x14ac:dyDescent="0.2">
      <c r="A41" s="82"/>
      <c r="B41" s="83"/>
      <c r="C41" s="84"/>
      <c r="D41" s="85"/>
      <c r="E41" s="85"/>
      <c r="F41" s="86"/>
    </row>
    <row r="42" spans="1:6" ht="14.25" customHeight="1" x14ac:dyDescent="0.2">
      <c r="A42" s="82"/>
      <c r="B42" s="83"/>
      <c r="C42" s="84"/>
      <c r="D42" s="85"/>
      <c r="E42" s="85"/>
      <c r="F42" s="86"/>
    </row>
    <row r="43" spans="1:6" ht="14.25" customHeight="1" x14ac:dyDescent="0.2">
      <c r="A43" s="82"/>
      <c r="B43" s="83"/>
      <c r="C43" s="84"/>
      <c r="D43" s="85"/>
      <c r="E43" s="85"/>
      <c r="F43" s="86"/>
    </row>
    <row r="44" spans="1:6" ht="14.25" customHeight="1" x14ac:dyDescent="0.2">
      <c r="A44" s="82"/>
      <c r="B44" s="83"/>
      <c r="C44" s="84"/>
      <c r="D44" s="85"/>
      <c r="E44" s="85"/>
      <c r="F44" s="86"/>
    </row>
    <row r="45" spans="1:6" ht="14.25" customHeight="1" x14ac:dyDescent="0.2">
      <c r="A45" s="82"/>
      <c r="B45" s="83"/>
      <c r="C45" s="84"/>
      <c r="D45" s="85"/>
      <c r="E45" s="85"/>
    </row>
    <row r="46" spans="1:6" ht="14.25" customHeight="1" x14ac:dyDescent="0.2">
      <c r="A46" s="82"/>
      <c r="B46" s="83"/>
      <c r="C46" s="84"/>
      <c r="D46" s="85"/>
      <c r="E46" s="85"/>
    </row>
    <row r="47" spans="1:6" ht="14.25" customHeight="1" x14ac:dyDescent="0.2">
      <c r="A47" s="82"/>
      <c r="B47" s="83"/>
      <c r="C47" s="84"/>
      <c r="D47" s="85"/>
      <c r="E47" s="85"/>
    </row>
    <row r="48" spans="1:6" ht="14.25" customHeight="1" x14ac:dyDescent="0.2">
      <c r="A48" s="82"/>
      <c r="B48" s="83"/>
      <c r="C48" s="84"/>
      <c r="D48" s="85"/>
      <c r="E48" s="85"/>
    </row>
    <row r="49" spans="1:6" ht="14.25" customHeight="1" x14ac:dyDescent="0.2">
      <c r="A49" s="82"/>
      <c r="B49" s="83"/>
      <c r="C49" s="84"/>
      <c r="D49" s="85"/>
      <c r="E49" s="85"/>
    </row>
    <row r="50" spans="1:6" ht="14.25" customHeight="1" x14ac:dyDescent="0.2">
      <c r="A50" s="82"/>
      <c r="B50" s="83"/>
      <c r="C50" s="84"/>
      <c r="D50" s="85"/>
      <c r="E50" s="85"/>
    </row>
    <row r="51" spans="1:6" ht="14.25" customHeight="1" x14ac:dyDescent="0.2">
      <c r="A51" s="82"/>
      <c r="B51" s="83"/>
      <c r="C51" s="84"/>
      <c r="D51" s="85"/>
      <c r="E51" s="85"/>
    </row>
    <row r="52" spans="1:6" ht="14.25" customHeight="1" x14ac:dyDescent="0.2">
      <c r="A52" s="82"/>
      <c r="B52" s="83"/>
      <c r="C52" s="84"/>
      <c r="D52" s="85"/>
      <c r="E52" s="85"/>
    </row>
    <row r="53" spans="1:6" ht="14.25" customHeight="1" x14ac:dyDescent="0.2">
      <c r="A53" s="82"/>
      <c r="B53" s="83"/>
      <c r="C53" s="84"/>
      <c r="D53" s="85"/>
      <c r="E53" s="85"/>
    </row>
    <row r="54" spans="1:6" ht="14.25" customHeight="1" x14ac:dyDescent="0.2">
      <c r="A54" s="82"/>
      <c r="B54" s="83"/>
      <c r="C54" s="84"/>
      <c r="D54" s="85"/>
      <c r="E54" s="85"/>
    </row>
    <row r="55" spans="1:6" ht="14.25" customHeight="1" x14ac:dyDescent="0.2">
      <c r="A55" s="82"/>
      <c r="B55" s="83"/>
      <c r="C55" s="84"/>
      <c r="D55" s="85"/>
      <c r="E55" s="85"/>
    </row>
    <row r="56" spans="1:6" ht="14.25" customHeight="1" x14ac:dyDescent="0.2">
      <c r="A56" s="82"/>
      <c r="B56" s="83"/>
      <c r="C56" s="84"/>
      <c r="D56" s="85"/>
      <c r="E56" s="85"/>
      <c r="F56" s="86"/>
    </row>
    <row r="57" spans="1:6" ht="14.25" customHeight="1" x14ac:dyDescent="0.2">
      <c r="A57" s="82"/>
      <c r="B57" s="83"/>
      <c r="C57" s="84"/>
      <c r="D57" s="85"/>
      <c r="E57" s="85"/>
      <c r="F57" s="86"/>
    </row>
    <row r="58" spans="1:6" ht="14.25" customHeight="1" x14ac:dyDescent="0.2">
      <c r="A58" s="82"/>
      <c r="B58" s="83"/>
      <c r="C58" s="84"/>
      <c r="D58" s="85"/>
      <c r="E58" s="85"/>
    </row>
    <row r="59" spans="1:6" ht="14.25" customHeight="1" x14ac:dyDescent="0.2">
      <c r="A59" s="82"/>
      <c r="B59" s="83"/>
      <c r="C59" s="84"/>
      <c r="D59" s="85"/>
      <c r="E59" s="85"/>
    </row>
    <row r="60" spans="1:6" ht="14.25" customHeight="1" x14ac:dyDescent="0.2">
      <c r="A60" s="82"/>
      <c r="B60" s="83"/>
      <c r="C60" s="84"/>
      <c r="D60" s="85"/>
      <c r="E60" s="85"/>
      <c r="F60" s="86"/>
    </row>
    <row r="61" spans="1:6" ht="14.25" customHeight="1" x14ac:dyDescent="0.2">
      <c r="A61" s="82"/>
      <c r="B61" s="83"/>
      <c r="C61" s="84"/>
      <c r="D61" s="85"/>
      <c r="E61" s="85"/>
      <c r="F61" s="86"/>
    </row>
    <row r="62" spans="1:6" ht="14.25" customHeight="1" x14ac:dyDescent="0.2">
      <c r="A62" s="82"/>
      <c r="B62" s="83"/>
      <c r="C62" s="84"/>
      <c r="D62" s="85"/>
      <c r="E62" s="85"/>
      <c r="F62" s="86"/>
    </row>
    <row r="63" spans="1:6" ht="14.25" customHeight="1" x14ac:dyDescent="0.2">
      <c r="A63" s="82"/>
      <c r="B63" s="83"/>
      <c r="C63" s="84"/>
      <c r="D63" s="85"/>
      <c r="E63" s="85"/>
      <c r="F63" s="86"/>
    </row>
    <row r="64" spans="1:6" ht="14.25" customHeight="1" x14ac:dyDescent="0.2">
      <c r="A64" s="82"/>
      <c r="B64" s="83"/>
      <c r="C64" s="84"/>
      <c r="D64" s="85"/>
      <c r="E64" s="85"/>
      <c r="F64" s="86"/>
    </row>
    <row r="65" spans="1:6" ht="14.25" customHeight="1" x14ac:dyDescent="0.2">
      <c r="A65" s="82"/>
      <c r="B65" s="83"/>
      <c r="C65" s="84"/>
      <c r="D65" s="85"/>
      <c r="E65" s="85"/>
      <c r="F65" s="86"/>
    </row>
    <row r="66" spans="1:6" ht="14.25" customHeight="1" x14ac:dyDescent="0.2">
      <c r="A66" s="82"/>
      <c r="B66" s="83"/>
      <c r="C66" s="84"/>
      <c r="D66" s="85"/>
      <c r="E66" s="85"/>
      <c r="F66" s="86"/>
    </row>
    <row r="67" spans="1:6" ht="14.25" customHeight="1" x14ac:dyDescent="0.2">
      <c r="A67" s="82"/>
      <c r="B67" s="83"/>
      <c r="C67" s="84"/>
      <c r="D67" s="85"/>
      <c r="E67" s="85"/>
      <c r="F67" s="86"/>
    </row>
    <row r="68" spans="1:6" ht="14.25" customHeight="1" x14ac:dyDescent="0.2">
      <c r="A68" s="82"/>
      <c r="B68" s="83"/>
      <c r="C68" s="84"/>
      <c r="D68" s="85"/>
      <c r="E68" s="85"/>
      <c r="F68" s="86"/>
    </row>
    <row r="69" spans="1:6" ht="14.25" customHeight="1" x14ac:dyDescent="0.2">
      <c r="A69" s="82"/>
      <c r="B69" s="83"/>
      <c r="C69" s="84"/>
      <c r="D69" s="85"/>
      <c r="E69" s="85"/>
      <c r="F69" s="86"/>
    </row>
    <row r="70" spans="1:6" ht="14.25" customHeight="1" x14ac:dyDescent="0.2">
      <c r="A70" s="82"/>
      <c r="B70" s="83"/>
      <c r="C70" s="84"/>
      <c r="D70" s="85"/>
      <c r="E70" s="85"/>
      <c r="F70" s="86"/>
    </row>
    <row r="71" spans="1:6" ht="14.25" customHeight="1" x14ac:dyDescent="0.2">
      <c r="A71" s="82"/>
      <c r="B71" s="83"/>
      <c r="C71" s="84"/>
      <c r="D71" s="85"/>
      <c r="E71" s="85"/>
      <c r="F71" s="86"/>
    </row>
    <row r="72" spans="1:6" ht="14.25" customHeight="1" x14ac:dyDescent="0.2">
      <c r="A72" s="82"/>
      <c r="B72" s="83"/>
      <c r="C72" s="84"/>
      <c r="D72" s="85"/>
      <c r="E72" s="85"/>
    </row>
    <row r="73" spans="1:6" ht="14.25" customHeight="1" x14ac:dyDescent="0.2">
      <c r="A73" s="82"/>
      <c r="B73" s="83"/>
      <c r="C73" s="84"/>
      <c r="D73" s="85"/>
      <c r="E73" s="85"/>
    </row>
    <row r="74" spans="1:6" ht="14.25" customHeight="1" x14ac:dyDescent="0.2">
      <c r="A74" s="82"/>
      <c r="B74" s="83"/>
      <c r="C74" s="84"/>
      <c r="D74" s="85"/>
      <c r="E74" s="85"/>
    </row>
    <row r="75" spans="1:6" ht="14.25" customHeight="1" x14ac:dyDescent="0.2">
      <c r="A75" s="82"/>
      <c r="B75" s="83"/>
      <c r="C75" s="84"/>
      <c r="D75" s="85"/>
      <c r="E75" s="85"/>
      <c r="F75" s="86"/>
    </row>
    <row r="76" spans="1:6" ht="14.25" customHeight="1" x14ac:dyDescent="0.2">
      <c r="A76" s="82"/>
      <c r="B76" s="83"/>
      <c r="C76" s="84"/>
      <c r="D76" s="85"/>
      <c r="E76" s="85"/>
    </row>
    <row r="77" spans="1:6" ht="14.25" customHeight="1" x14ac:dyDescent="0.2">
      <c r="A77" s="82"/>
      <c r="B77" s="83"/>
      <c r="C77" s="84"/>
      <c r="D77" s="85"/>
      <c r="E77" s="85"/>
    </row>
    <row r="78" spans="1:6" ht="14.25" customHeight="1" x14ac:dyDescent="0.2">
      <c r="A78" s="82"/>
      <c r="B78" s="83"/>
      <c r="C78" s="84"/>
      <c r="D78" s="85"/>
      <c r="E78" s="85"/>
    </row>
    <row r="79" spans="1:6" ht="14.25" customHeight="1" x14ac:dyDescent="0.2">
      <c r="A79" s="82"/>
      <c r="B79" s="83"/>
      <c r="C79" s="84"/>
      <c r="D79" s="85"/>
      <c r="E79" s="85"/>
      <c r="F79" s="86"/>
    </row>
    <row r="80" spans="1:6" ht="14.25" customHeight="1" x14ac:dyDescent="0.2">
      <c r="A80" s="82"/>
      <c r="B80" s="83"/>
      <c r="C80" s="84"/>
      <c r="D80" s="85"/>
      <c r="E80" s="85"/>
      <c r="F80" s="86"/>
    </row>
    <row r="81" spans="1:6" ht="14.25" customHeight="1" x14ac:dyDescent="0.2">
      <c r="A81" s="82"/>
      <c r="B81" s="83"/>
      <c r="C81" s="84"/>
      <c r="D81" s="85"/>
      <c r="E81" s="85"/>
    </row>
    <row r="82" spans="1:6" ht="14.25" customHeight="1" x14ac:dyDescent="0.2">
      <c r="A82" s="82"/>
      <c r="B82" s="83"/>
      <c r="C82" s="84"/>
      <c r="D82" s="85"/>
      <c r="E82" s="85"/>
    </row>
    <row r="83" spans="1:6" ht="14.25" customHeight="1" x14ac:dyDescent="0.2">
      <c r="A83" s="82"/>
      <c r="B83" s="83"/>
      <c r="C83" s="84"/>
      <c r="D83" s="85"/>
      <c r="E83" s="85"/>
    </row>
    <row r="84" spans="1:6" ht="14.25" customHeight="1" x14ac:dyDescent="0.2">
      <c r="A84" s="82"/>
      <c r="B84" s="83"/>
      <c r="C84" s="84"/>
      <c r="D84" s="85"/>
      <c r="E84" s="85"/>
    </row>
    <row r="85" spans="1:6" ht="14.25" customHeight="1" x14ac:dyDescent="0.2">
      <c r="A85" s="82"/>
      <c r="B85" s="83"/>
      <c r="C85" s="84"/>
      <c r="D85" s="85"/>
      <c r="E85" s="85"/>
    </row>
    <row r="86" spans="1:6" ht="14.25" customHeight="1" x14ac:dyDescent="0.2">
      <c r="A86" s="82"/>
      <c r="B86" s="83"/>
      <c r="C86" s="84"/>
      <c r="D86" s="85"/>
      <c r="E86" s="85"/>
    </row>
    <row r="87" spans="1:6" ht="14.25" customHeight="1" x14ac:dyDescent="0.2">
      <c r="A87" s="82"/>
      <c r="B87" s="83"/>
      <c r="C87" s="84"/>
      <c r="D87" s="85"/>
      <c r="E87" s="85"/>
      <c r="F87" s="86"/>
    </row>
    <row r="88" spans="1:6" ht="14.25" customHeight="1" x14ac:dyDescent="0.2">
      <c r="A88" s="82"/>
      <c r="B88" s="83"/>
      <c r="C88" s="84"/>
      <c r="D88" s="85"/>
      <c r="E88" s="85"/>
      <c r="F88" s="86"/>
    </row>
    <row r="89" spans="1:6" ht="14.25" customHeight="1" x14ac:dyDescent="0.2">
      <c r="A89" s="82"/>
      <c r="B89" s="83"/>
      <c r="C89" s="84"/>
      <c r="D89" s="85"/>
      <c r="E89" s="85"/>
    </row>
    <row r="90" spans="1:6" ht="14.25" customHeight="1" x14ac:dyDescent="0.2">
      <c r="A90" s="82"/>
      <c r="B90" s="83"/>
      <c r="C90" s="84"/>
      <c r="D90" s="85"/>
      <c r="E90" s="85"/>
    </row>
    <row r="91" spans="1:6" ht="14.25" customHeight="1" x14ac:dyDescent="0.2">
      <c r="A91" s="82"/>
      <c r="B91" s="83"/>
      <c r="C91" s="84"/>
      <c r="D91" s="85"/>
      <c r="E91" s="85"/>
    </row>
    <row r="92" spans="1:6" ht="14.25" customHeight="1" x14ac:dyDescent="0.2">
      <c r="A92" s="82"/>
      <c r="B92" s="83"/>
      <c r="C92" s="84"/>
      <c r="D92" s="85"/>
      <c r="E92" s="85"/>
    </row>
    <row r="93" spans="1:6" ht="14.25" customHeight="1" x14ac:dyDescent="0.2">
      <c r="A93" s="82"/>
      <c r="B93" s="83"/>
      <c r="C93" s="84"/>
      <c r="D93" s="85"/>
      <c r="E93" s="85"/>
    </row>
    <row r="94" spans="1:6" ht="14.25" customHeight="1" x14ac:dyDescent="0.2">
      <c r="A94" s="82"/>
      <c r="B94" s="83"/>
      <c r="C94" s="84"/>
      <c r="D94" s="85"/>
      <c r="E94" s="85"/>
    </row>
    <row r="95" spans="1:6" ht="14.25" customHeight="1" x14ac:dyDescent="0.2">
      <c r="A95" s="82"/>
      <c r="B95" s="83"/>
      <c r="C95" s="84"/>
      <c r="D95" s="85"/>
      <c r="E95" s="85"/>
    </row>
    <row r="96" spans="1:6" ht="14.25" customHeight="1" x14ac:dyDescent="0.2">
      <c r="A96" s="82"/>
      <c r="B96" s="83"/>
      <c r="C96" s="84"/>
      <c r="D96" s="85"/>
      <c r="E96" s="85"/>
    </row>
    <row r="97" spans="1:6" ht="14.25" customHeight="1" x14ac:dyDescent="0.2">
      <c r="A97" s="82"/>
      <c r="B97" s="83"/>
      <c r="C97" s="84"/>
      <c r="D97" s="85"/>
      <c r="E97" s="85"/>
      <c r="F97" s="86"/>
    </row>
    <row r="98" spans="1:6" ht="14.25" customHeight="1" x14ac:dyDescent="0.2">
      <c r="A98" s="82"/>
      <c r="B98" s="83"/>
      <c r="C98" s="84"/>
      <c r="D98" s="85"/>
      <c r="E98" s="85"/>
    </row>
    <row r="99" spans="1:6" ht="14.25" customHeight="1" x14ac:dyDescent="0.2">
      <c r="A99" s="82"/>
      <c r="B99" s="83"/>
      <c r="C99" s="84"/>
      <c r="D99" s="85"/>
      <c r="E99" s="85"/>
    </row>
    <row r="100" spans="1:6" ht="14.25" customHeight="1" x14ac:dyDescent="0.2">
      <c r="A100" s="82"/>
      <c r="B100" s="83"/>
      <c r="C100" s="84"/>
      <c r="D100" s="85"/>
      <c r="E100" s="85"/>
    </row>
    <row r="101" spans="1:6" ht="14.25" customHeight="1" x14ac:dyDescent="0.2">
      <c r="A101" s="82"/>
      <c r="B101" s="83"/>
      <c r="C101" s="84"/>
      <c r="D101" s="85"/>
      <c r="E101" s="85"/>
      <c r="F101" s="86"/>
    </row>
    <row r="102" spans="1:6" ht="14.25" customHeight="1" x14ac:dyDescent="0.2">
      <c r="A102" s="82"/>
      <c r="B102" s="83"/>
      <c r="C102" s="84"/>
      <c r="D102" s="85"/>
      <c r="E102" s="85"/>
      <c r="F102" s="86"/>
    </row>
    <row r="103" spans="1:6" ht="14.25" customHeight="1" x14ac:dyDescent="0.2">
      <c r="A103" s="82"/>
      <c r="B103" s="83"/>
      <c r="C103" s="84"/>
      <c r="D103" s="85"/>
      <c r="E103" s="85"/>
      <c r="F103" s="86"/>
    </row>
    <row r="104" spans="1:6" ht="14.25" customHeight="1" x14ac:dyDescent="0.2">
      <c r="A104" s="82"/>
      <c r="B104" s="83"/>
      <c r="C104" s="84"/>
      <c r="D104" s="85"/>
      <c r="E104" s="85"/>
      <c r="F104" s="86"/>
    </row>
    <row r="105" spans="1:6" ht="14.25" customHeight="1" x14ac:dyDescent="0.2">
      <c r="A105" s="82"/>
      <c r="B105" s="83"/>
      <c r="C105" s="84"/>
      <c r="D105" s="85"/>
      <c r="E105" s="85"/>
      <c r="F105" s="86"/>
    </row>
    <row r="106" spans="1:6" ht="14.25" customHeight="1" x14ac:dyDescent="0.2">
      <c r="A106" s="82"/>
      <c r="B106" s="83"/>
      <c r="C106" s="84"/>
      <c r="D106" s="85"/>
      <c r="E106" s="85"/>
      <c r="F106" s="86"/>
    </row>
    <row r="107" spans="1:6" ht="14.25" customHeight="1" x14ac:dyDescent="0.2">
      <c r="A107" s="82"/>
      <c r="B107" s="83"/>
      <c r="C107" s="84"/>
      <c r="D107" s="85"/>
      <c r="E107" s="85"/>
      <c r="F107" s="86"/>
    </row>
    <row r="108" spans="1:6" ht="14.25" customHeight="1" x14ac:dyDescent="0.2">
      <c r="A108" s="82"/>
      <c r="B108" s="83"/>
      <c r="C108" s="84"/>
      <c r="D108" s="85"/>
      <c r="E108" s="85"/>
      <c r="F108" s="86"/>
    </row>
    <row r="109" spans="1:6" ht="14.25" customHeight="1" x14ac:dyDescent="0.2">
      <c r="A109" s="82"/>
      <c r="B109" s="83"/>
      <c r="C109" s="84"/>
      <c r="D109" s="85"/>
      <c r="E109" s="85"/>
    </row>
    <row r="110" spans="1:6" ht="14.25" customHeight="1" x14ac:dyDescent="0.2">
      <c r="A110" s="82"/>
      <c r="B110" s="83"/>
      <c r="C110" s="84"/>
      <c r="D110" s="85"/>
      <c r="E110" s="85"/>
    </row>
    <row r="111" spans="1:6" ht="14.25" customHeight="1" x14ac:dyDescent="0.2">
      <c r="A111" s="82"/>
      <c r="B111" s="83"/>
      <c r="C111" s="84"/>
      <c r="D111" s="85"/>
      <c r="E111" s="85"/>
    </row>
    <row r="112" spans="1:6" ht="14.25" customHeight="1" x14ac:dyDescent="0.2">
      <c r="A112" s="82"/>
      <c r="B112" s="83"/>
      <c r="C112" s="84"/>
      <c r="D112" s="85"/>
      <c r="E112" s="85"/>
      <c r="F112" s="86"/>
    </row>
    <row r="113" spans="1:6" ht="14.25" customHeight="1" x14ac:dyDescent="0.2">
      <c r="A113" s="82"/>
      <c r="B113" s="83"/>
      <c r="C113" s="84"/>
      <c r="D113" s="85"/>
      <c r="E113" s="85"/>
      <c r="F113" s="86"/>
    </row>
    <row r="114" spans="1:6" ht="14.25" customHeight="1" x14ac:dyDescent="0.2">
      <c r="A114" s="82"/>
      <c r="B114" s="83"/>
      <c r="C114" s="84"/>
      <c r="D114" s="85"/>
      <c r="E114" s="85"/>
    </row>
    <row r="115" spans="1:6" ht="14.25" customHeight="1" x14ac:dyDescent="0.2">
      <c r="A115" s="82"/>
      <c r="B115" s="83"/>
      <c r="C115" s="84"/>
      <c r="D115" s="85"/>
      <c r="E115" s="85"/>
    </row>
    <row r="116" spans="1:6" ht="14.25" customHeight="1" x14ac:dyDescent="0.2">
      <c r="A116" s="82"/>
      <c r="B116" s="83"/>
      <c r="C116" s="84"/>
      <c r="D116" s="85"/>
      <c r="E116" s="85"/>
    </row>
    <row r="117" spans="1:6" ht="14.25" customHeight="1" x14ac:dyDescent="0.2">
      <c r="A117" s="82"/>
      <c r="B117" s="83"/>
      <c r="C117" s="84"/>
      <c r="D117" s="85"/>
      <c r="E117" s="85"/>
    </row>
    <row r="118" spans="1:6" ht="14.25" customHeight="1" x14ac:dyDescent="0.2">
      <c r="A118" s="82"/>
      <c r="B118" s="83"/>
      <c r="C118" s="84"/>
      <c r="D118" s="85"/>
      <c r="E118" s="85"/>
    </row>
    <row r="119" spans="1:6" ht="14.25" customHeight="1" x14ac:dyDescent="0.2">
      <c r="A119" s="82"/>
      <c r="B119" s="83"/>
      <c r="C119" s="84"/>
      <c r="D119" s="85"/>
      <c r="E119" s="85"/>
    </row>
    <row r="120" spans="1:6" ht="14.25" customHeight="1" x14ac:dyDescent="0.2">
      <c r="A120" s="82"/>
      <c r="B120" s="83"/>
      <c r="C120" s="84"/>
      <c r="D120" s="85"/>
      <c r="E120" s="85"/>
      <c r="F120" s="86"/>
    </row>
    <row r="121" spans="1:6" ht="14.25" customHeight="1" x14ac:dyDescent="0.2">
      <c r="A121" s="82"/>
      <c r="B121" s="83"/>
      <c r="C121" s="84"/>
      <c r="D121" s="85"/>
      <c r="E121" s="85"/>
      <c r="F121" s="86"/>
    </row>
    <row r="122" spans="1:6" ht="14.25" customHeight="1" x14ac:dyDescent="0.2">
      <c r="A122" s="82"/>
      <c r="B122" s="83"/>
      <c r="C122" s="84"/>
      <c r="D122" s="85"/>
      <c r="E122" s="85"/>
      <c r="F122" s="86"/>
    </row>
    <row r="123" spans="1:6" ht="14.25" customHeight="1" x14ac:dyDescent="0.2">
      <c r="A123" s="82"/>
      <c r="B123" s="83"/>
      <c r="C123" s="84"/>
      <c r="D123" s="85"/>
      <c r="E123" s="85"/>
      <c r="F123" s="86"/>
    </row>
    <row r="124" spans="1:6" ht="14.25" customHeight="1" x14ac:dyDescent="0.2">
      <c r="A124" s="82"/>
      <c r="B124" s="83"/>
      <c r="C124" s="84"/>
      <c r="D124" s="85"/>
      <c r="E124" s="85"/>
      <c r="F124" s="86"/>
    </row>
    <row r="125" spans="1:6" ht="14.25" customHeight="1" x14ac:dyDescent="0.2">
      <c r="A125" s="82"/>
      <c r="B125" s="83"/>
      <c r="C125" s="84"/>
      <c r="D125" s="85"/>
      <c r="E125" s="85"/>
      <c r="F125" s="86"/>
    </row>
    <row r="126" spans="1:6" ht="14.25" customHeight="1" x14ac:dyDescent="0.2">
      <c r="A126" s="82"/>
      <c r="B126" s="83"/>
      <c r="C126" s="84"/>
      <c r="D126" s="85"/>
      <c r="E126" s="85"/>
    </row>
    <row r="127" spans="1:6" ht="14.25" customHeight="1" x14ac:dyDescent="0.2">
      <c r="A127" s="82"/>
      <c r="B127" s="83"/>
      <c r="C127" s="84"/>
      <c r="D127" s="85"/>
      <c r="E127" s="85"/>
      <c r="F127" s="86"/>
    </row>
    <row r="128" spans="1:6" ht="14.25" customHeight="1" x14ac:dyDescent="0.2">
      <c r="A128" s="82"/>
      <c r="B128" s="83"/>
      <c r="C128" s="84"/>
      <c r="D128" s="85"/>
      <c r="E128" s="85"/>
      <c r="F128" s="86"/>
    </row>
    <row r="129" spans="1:6" ht="14.25" customHeight="1" x14ac:dyDescent="0.2">
      <c r="A129" s="82"/>
      <c r="B129" s="83"/>
      <c r="C129" s="84"/>
      <c r="D129" s="85"/>
      <c r="E129" s="85"/>
      <c r="F129" s="86"/>
    </row>
    <row r="130" spans="1:6" ht="14.25" customHeight="1" x14ac:dyDescent="0.2">
      <c r="A130" s="82"/>
      <c r="B130" s="83"/>
      <c r="C130" s="84"/>
      <c r="D130" s="85"/>
      <c r="E130" s="85"/>
    </row>
    <row r="131" spans="1:6" ht="14.25" customHeight="1" x14ac:dyDescent="0.2">
      <c r="A131" s="82"/>
      <c r="B131" s="83"/>
      <c r="C131" s="84"/>
      <c r="D131" s="85"/>
      <c r="E131" s="85"/>
    </row>
    <row r="132" spans="1:6" ht="14.25" customHeight="1" x14ac:dyDescent="0.2">
      <c r="A132" s="82"/>
      <c r="B132" s="83"/>
      <c r="C132" s="84"/>
      <c r="D132" s="85"/>
      <c r="E132" s="85"/>
      <c r="F132" s="86"/>
    </row>
    <row r="133" spans="1:6" ht="14.25" customHeight="1" x14ac:dyDescent="0.2">
      <c r="A133" s="82"/>
      <c r="B133" s="83"/>
      <c r="C133" s="84"/>
      <c r="D133" s="85"/>
      <c r="E133" s="85"/>
    </row>
    <row r="134" spans="1:6" ht="14.25" customHeight="1" x14ac:dyDescent="0.2">
      <c r="A134" s="82"/>
      <c r="B134" s="83"/>
      <c r="C134" s="84"/>
      <c r="D134" s="85"/>
      <c r="E134" s="85"/>
    </row>
    <row r="135" spans="1:6" ht="14.25" customHeight="1" x14ac:dyDescent="0.2">
      <c r="A135" s="82"/>
      <c r="B135" s="83"/>
      <c r="C135" s="84"/>
      <c r="D135" s="85"/>
      <c r="E135" s="85"/>
    </row>
    <row r="136" spans="1:6" ht="14.25" customHeight="1" x14ac:dyDescent="0.2">
      <c r="A136" s="82"/>
      <c r="B136" s="83"/>
      <c r="C136" s="84"/>
      <c r="D136" s="85"/>
      <c r="E136" s="85"/>
    </row>
    <row r="137" spans="1:6" ht="14.25" customHeight="1" x14ac:dyDescent="0.2">
      <c r="A137" s="82"/>
      <c r="B137" s="83"/>
      <c r="C137" s="84"/>
      <c r="D137" s="85"/>
      <c r="E137" s="85"/>
    </row>
    <row r="138" spans="1:6" ht="14.25" customHeight="1" x14ac:dyDescent="0.2">
      <c r="A138" s="82"/>
      <c r="B138" s="83"/>
      <c r="C138" s="84"/>
      <c r="D138" s="85"/>
      <c r="E138" s="85"/>
      <c r="F138" s="86"/>
    </row>
    <row r="139" spans="1:6" ht="14.25" customHeight="1" x14ac:dyDescent="0.2">
      <c r="A139" s="82"/>
      <c r="B139" s="83"/>
      <c r="C139" s="84"/>
      <c r="D139" s="85"/>
      <c r="E139" s="85"/>
      <c r="F139" s="86"/>
    </row>
    <row r="140" spans="1:6" ht="14.25" customHeight="1" x14ac:dyDescent="0.2">
      <c r="A140" s="82"/>
      <c r="B140" s="83"/>
      <c r="C140" s="84"/>
      <c r="D140" s="85"/>
      <c r="E140" s="85"/>
      <c r="F140" s="86"/>
    </row>
    <row r="141" spans="1:6" ht="14.25" customHeight="1" x14ac:dyDescent="0.2">
      <c r="A141" s="82"/>
      <c r="B141" s="83"/>
      <c r="C141" s="84"/>
      <c r="D141" s="85"/>
      <c r="E141" s="85"/>
      <c r="F141" s="86"/>
    </row>
    <row r="142" spans="1:6" ht="14.25" customHeight="1" x14ac:dyDescent="0.2">
      <c r="A142" s="82"/>
      <c r="B142" s="83"/>
      <c r="C142" s="84"/>
      <c r="D142" s="85"/>
      <c r="E142" s="85"/>
      <c r="F142" s="86"/>
    </row>
    <row r="143" spans="1:6" ht="14.25" customHeight="1" x14ac:dyDescent="0.2">
      <c r="A143" s="82"/>
      <c r="B143" s="83"/>
      <c r="C143" s="84"/>
      <c r="D143" s="85"/>
      <c r="E143" s="85"/>
      <c r="F143" s="86"/>
    </row>
    <row r="144" spans="1:6" ht="14.25" customHeight="1" x14ac:dyDescent="0.2">
      <c r="A144" s="82"/>
      <c r="B144" s="83"/>
      <c r="C144" s="84"/>
      <c r="D144" s="85"/>
      <c r="E144" s="85"/>
    </row>
    <row r="145" spans="1:6" ht="14.25" customHeight="1" x14ac:dyDescent="0.2">
      <c r="A145" s="82"/>
      <c r="B145" s="83"/>
      <c r="C145" s="84"/>
      <c r="D145" s="85"/>
    </row>
    <row r="146" spans="1:6" ht="14.25" customHeight="1" x14ac:dyDescent="0.2">
      <c r="A146" s="82"/>
      <c r="B146" s="83"/>
      <c r="C146" s="87"/>
      <c r="E146" s="85"/>
      <c r="F146" s="88"/>
    </row>
    <row r="147" spans="1:6" ht="14.25" customHeight="1" x14ac:dyDescent="0.2">
      <c r="A147" s="82"/>
      <c r="B147" s="83"/>
      <c r="C147" s="87"/>
    </row>
    <row r="148" spans="1:6" ht="14.25" customHeight="1" x14ac:dyDescent="0.2">
      <c r="A148" s="82"/>
      <c r="B148" s="83"/>
      <c r="C148" s="87"/>
    </row>
    <row r="149" spans="1:6" ht="14.25" customHeight="1" x14ac:dyDescent="0.2">
      <c r="A149" s="82"/>
      <c r="B149" s="83"/>
      <c r="C149" s="87"/>
    </row>
    <row r="150" spans="1:6" ht="14.25" customHeight="1" x14ac:dyDescent="0.2">
      <c r="A150" s="82"/>
      <c r="B150" s="83"/>
      <c r="C150" s="87"/>
      <c r="F150" s="86"/>
    </row>
    <row r="151" spans="1:6" ht="14.25" customHeight="1" x14ac:dyDescent="0.2">
      <c r="A151" s="82"/>
      <c r="B151" s="83"/>
      <c r="C151" s="87"/>
    </row>
    <row r="152" spans="1:6" ht="14.25" customHeight="1" x14ac:dyDescent="0.2">
      <c r="A152" s="82"/>
      <c r="B152" s="83"/>
      <c r="C152" s="87"/>
      <c r="F152" s="86"/>
    </row>
    <row r="153" spans="1:6" ht="14.25" customHeight="1" x14ac:dyDescent="0.2">
      <c r="A153" s="82"/>
      <c r="B153" s="83"/>
      <c r="C153" s="87"/>
    </row>
    <row r="154" spans="1:6" ht="14.25" customHeight="1" x14ac:dyDescent="0.2">
      <c r="A154" s="82"/>
      <c r="B154" s="83"/>
      <c r="C154" s="87"/>
      <c r="F154" s="86"/>
    </row>
    <row r="155" spans="1:6" ht="14.25" customHeight="1" x14ac:dyDescent="0.2">
      <c r="A155" s="82"/>
      <c r="B155" s="83"/>
      <c r="C155" s="87"/>
      <c r="F155" s="86"/>
    </row>
    <row r="156" spans="1:6" ht="14.25" customHeight="1" x14ac:dyDescent="0.2">
      <c r="A156" s="82"/>
      <c r="B156" s="83"/>
      <c r="C156" s="87"/>
      <c r="F156" s="1"/>
    </row>
    <row r="157" spans="1:6" ht="14.25" customHeight="1" x14ac:dyDescent="0.2">
      <c r="A157" s="82"/>
      <c r="B157" s="83"/>
      <c r="C157" s="87"/>
    </row>
    <row r="158" spans="1:6" ht="14.25" customHeight="1" x14ac:dyDescent="0.2">
      <c r="A158" s="82"/>
      <c r="B158" s="83"/>
      <c r="C158" s="87"/>
    </row>
    <row r="159" spans="1:6" ht="14.25" customHeight="1" x14ac:dyDescent="0.2">
      <c r="A159" s="82"/>
      <c r="B159" s="83"/>
      <c r="C159" s="87"/>
    </row>
    <row r="160" spans="1:6" ht="14.25" customHeight="1" x14ac:dyDescent="0.2">
      <c r="A160" s="82"/>
      <c r="B160" s="83"/>
      <c r="C160" s="87"/>
      <c r="F160" s="86"/>
    </row>
    <row r="161" spans="1:6" ht="14.25" customHeight="1" x14ac:dyDescent="0.2">
      <c r="A161" s="82"/>
      <c r="B161" s="83"/>
      <c r="C161" s="87"/>
    </row>
    <row r="162" spans="1:6" ht="14.25" customHeight="1" x14ac:dyDescent="0.2">
      <c r="A162" s="82"/>
      <c r="B162" s="83"/>
      <c r="C162" s="87"/>
      <c r="F162" s="86"/>
    </row>
    <row r="163" spans="1:6" ht="14.25" customHeight="1" x14ac:dyDescent="0.2">
      <c r="A163" s="82"/>
      <c r="B163" s="83"/>
      <c r="C163" s="87"/>
      <c r="F163" s="86"/>
    </row>
    <row r="164" spans="1:6" ht="14.25" customHeight="1" x14ac:dyDescent="0.2">
      <c r="A164" s="82"/>
      <c r="B164" s="83"/>
      <c r="C164" s="87"/>
      <c r="F164" s="86"/>
    </row>
    <row r="165" spans="1:6" ht="14.25" customHeight="1" x14ac:dyDescent="0.2">
      <c r="A165" s="82"/>
      <c r="B165" s="83"/>
      <c r="C165" s="87"/>
      <c r="F165" s="86"/>
    </row>
    <row r="166" spans="1:6" ht="14.25" customHeight="1" x14ac:dyDescent="0.2">
      <c r="A166" s="82"/>
      <c r="B166" s="83"/>
      <c r="C166" s="87"/>
      <c r="F166" s="86"/>
    </row>
    <row r="167" spans="1:6" ht="14.25" customHeight="1" x14ac:dyDescent="0.2">
      <c r="A167" s="82"/>
      <c r="B167" s="83"/>
      <c r="C167" s="87"/>
      <c r="F167" s="86"/>
    </row>
    <row r="168" spans="1:6" ht="14.25" customHeight="1" x14ac:dyDescent="0.2">
      <c r="A168" s="82"/>
      <c r="B168" s="83"/>
      <c r="C168" s="87"/>
      <c r="F168" s="86"/>
    </row>
    <row r="169" spans="1:6" ht="14.25" customHeight="1" x14ac:dyDescent="0.2">
      <c r="A169" s="82"/>
      <c r="B169" s="83"/>
      <c r="C169" s="87"/>
      <c r="F169" s="86"/>
    </row>
    <row r="170" spans="1:6" ht="14.25" customHeight="1" x14ac:dyDescent="0.2">
      <c r="A170" s="82"/>
      <c r="B170" s="83"/>
      <c r="C170" s="87"/>
    </row>
    <row r="171" spans="1:6" ht="14.25" customHeight="1" x14ac:dyDescent="0.2">
      <c r="A171" s="82"/>
      <c r="B171" s="83"/>
      <c r="C171" s="87"/>
    </row>
    <row r="172" spans="1:6" ht="14.25" customHeight="1" x14ac:dyDescent="0.2">
      <c r="A172" s="82"/>
      <c r="B172" s="83"/>
      <c r="C172" s="87"/>
    </row>
    <row r="173" spans="1:6" ht="14.25" customHeight="1" x14ac:dyDescent="0.2">
      <c r="A173" s="82"/>
      <c r="B173" s="83"/>
      <c r="C173" s="87"/>
    </row>
    <row r="174" spans="1:6" ht="14.25" customHeight="1" x14ac:dyDescent="0.2">
      <c r="A174" s="82"/>
      <c r="B174" s="83"/>
      <c r="C174" s="87"/>
    </row>
    <row r="175" spans="1:6" ht="14.25" customHeight="1" x14ac:dyDescent="0.2">
      <c r="A175" s="82"/>
      <c r="B175" s="83"/>
      <c r="C175" s="87"/>
    </row>
    <row r="176" spans="1:6" ht="14.25" customHeight="1" x14ac:dyDescent="0.2">
      <c r="A176" s="82"/>
      <c r="B176" s="83"/>
      <c r="C176" s="87"/>
      <c r="F176" s="86"/>
    </row>
    <row r="177" spans="1:27" ht="14.25" customHeight="1" x14ac:dyDescent="0.2">
      <c r="A177" s="82"/>
      <c r="B177" s="83"/>
      <c r="C177" s="87"/>
      <c r="F177" s="86"/>
    </row>
    <row r="178" spans="1:27" ht="14.25" customHeight="1" x14ac:dyDescent="0.2">
      <c r="A178" s="82"/>
      <c r="B178" s="83"/>
      <c r="C178" s="87"/>
      <c r="F178" s="86"/>
    </row>
    <row r="179" spans="1:27" ht="14.25" customHeight="1" x14ac:dyDescent="0.2">
      <c r="A179" s="82"/>
      <c r="B179" s="83"/>
      <c r="C179" s="87"/>
      <c r="G179" s="1"/>
    </row>
    <row r="180" spans="1:27" ht="14.25" customHeight="1" x14ac:dyDescent="0.2">
      <c r="A180" s="82"/>
      <c r="B180" s="83"/>
      <c r="C180" s="87"/>
      <c r="F180" s="86"/>
    </row>
    <row r="181" spans="1:27" ht="14.25" customHeight="1" x14ac:dyDescent="0.2">
      <c r="A181" s="82"/>
      <c r="B181" s="83"/>
      <c r="C181" s="87"/>
      <c r="F181" s="86"/>
    </row>
    <row r="182" spans="1:27" ht="14.25" customHeight="1" x14ac:dyDescent="0.2">
      <c r="A182" s="82"/>
      <c r="B182" s="83"/>
      <c r="C182" s="87"/>
      <c r="F182" s="86"/>
    </row>
    <row r="183" spans="1:27" ht="14.25" customHeight="1" x14ac:dyDescent="0.2">
      <c r="A183" s="89"/>
      <c r="B183" s="83"/>
      <c r="C183" s="90"/>
      <c r="D183" s="1"/>
      <c r="E183" s="1"/>
      <c r="F183" s="1"/>
      <c r="G183" s="1"/>
    </row>
    <row r="184" spans="1:27" ht="14.25" customHeight="1" x14ac:dyDescent="0.2">
      <c r="A184" s="82"/>
      <c r="B184" s="83"/>
      <c r="C184" s="87"/>
      <c r="H184" s="1"/>
      <c r="I184" s="1"/>
      <c r="J184" s="1"/>
      <c r="K184" s="1"/>
      <c r="L184" s="1"/>
      <c r="M184" s="1"/>
      <c r="N184" s="1"/>
      <c r="O184" s="1"/>
      <c r="P184" s="1"/>
      <c r="Q184" s="1"/>
      <c r="R184" s="1"/>
      <c r="S184" s="1"/>
      <c r="T184" s="1"/>
      <c r="U184" s="1"/>
      <c r="V184" s="1"/>
      <c r="W184" s="1"/>
      <c r="X184" s="1"/>
      <c r="Y184" s="1"/>
      <c r="Z184" s="1"/>
      <c r="AA184" s="1"/>
    </row>
    <row r="185" spans="1:27" ht="14.25" customHeight="1" x14ac:dyDescent="0.2">
      <c r="A185" s="82"/>
      <c r="B185" s="83"/>
      <c r="C185" s="87"/>
    </row>
    <row r="186" spans="1:27" ht="14.25" customHeight="1" x14ac:dyDescent="0.2">
      <c r="A186" s="82"/>
      <c r="B186" s="83"/>
      <c r="C186" s="87"/>
    </row>
    <row r="187" spans="1:27" ht="14.25" customHeight="1" x14ac:dyDescent="0.2">
      <c r="A187" s="82"/>
      <c r="B187" s="83"/>
      <c r="C187" s="87"/>
    </row>
    <row r="188" spans="1:27" ht="14.25" customHeight="1" x14ac:dyDescent="0.2">
      <c r="A188" s="82"/>
      <c r="B188" s="83"/>
      <c r="C188" s="87"/>
      <c r="F188" s="86"/>
    </row>
    <row r="189" spans="1:27" ht="14.25" customHeight="1" x14ac:dyDescent="0.2">
      <c r="A189" s="82"/>
      <c r="B189" s="83"/>
      <c r="C189" s="87"/>
      <c r="F189" s="86"/>
    </row>
    <row r="190" spans="1:27" ht="14.25" customHeight="1" x14ac:dyDescent="0.2">
      <c r="A190" s="82"/>
      <c r="B190" s="83"/>
      <c r="C190" s="87"/>
      <c r="F190" s="86"/>
    </row>
    <row r="191" spans="1:27" ht="14.25" customHeight="1" x14ac:dyDescent="0.2">
      <c r="A191" s="82"/>
      <c r="B191" s="83"/>
      <c r="C191" s="87"/>
      <c r="F191" s="86"/>
    </row>
    <row r="192" spans="1:27" ht="14.25" customHeight="1" x14ac:dyDescent="0.2">
      <c r="A192" s="82"/>
      <c r="B192" s="83"/>
      <c r="C192" s="87"/>
      <c r="F192" s="86"/>
    </row>
    <row r="193" spans="1:6" ht="14.25" customHeight="1" x14ac:dyDescent="0.2">
      <c r="A193" s="82"/>
      <c r="B193" s="83"/>
      <c r="C193" s="87"/>
      <c r="F193" s="86"/>
    </row>
    <row r="194" spans="1:6" ht="14.25" customHeight="1" x14ac:dyDescent="0.2">
      <c r="A194" s="89"/>
      <c r="B194" s="83"/>
      <c r="C194" s="87"/>
    </row>
    <row r="195" spans="1:6" ht="14.25" customHeight="1" x14ac:dyDescent="0.2">
      <c r="A195" s="82"/>
      <c r="B195" s="83"/>
      <c r="C195" s="87"/>
      <c r="F195" s="86"/>
    </row>
    <row r="196" spans="1:6" ht="14.25" customHeight="1" x14ac:dyDescent="0.2">
      <c r="A196" s="82"/>
      <c r="B196" s="83"/>
      <c r="C196" s="87"/>
    </row>
    <row r="197" spans="1:6" ht="14.25" customHeight="1" x14ac:dyDescent="0.2">
      <c r="A197" s="82"/>
      <c r="B197" s="83"/>
      <c r="C197" s="87"/>
    </row>
    <row r="198" spans="1:6" ht="14.25" customHeight="1" x14ac:dyDescent="0.2">
      <c r="A198" s="82"/>
      <c r="B198" s="83"/>
      <c r="C198" s="87"/>
    </row>
    <row r="199" spans="1:6" ht="14.25" customHeight="1" x14ac:dyDescent="0.2">
      <c r="A199" s="82"/>
      <c r="B199" s="83"/>
      <c r="C199" s="87"/>
      <c r="F199" s="86"/>
    </row>
    <row r="200" spans="1:6" ht="14.25" customHeight="1" x14ac:dyDescent="0.2">
      <c r="A200" s="82"/>
      <c r="B200" s="83"/>
      <c r="C200" s="87"/>
      <c r="F200" s="86"/>
    </row>
    <row r="201" spans="1:6" ht="14.25" customHeight="1" x14ac:dyDescent="0.2">
      <c r="A201" s="82"/>
      <c r="B201" s="83"/>
      <c r="C201" s="87"/>
    </row>
    <row r="202" spans="1:6" ht="14.25" customHeight="1" x14ac:dyDescent="0.2">
      <c r="A202" s="82"/>
      <c r="B202" s="83"/>
      <c r="C202" s="87"/>
    </row>
    <row r="203" spans="1:6" ht="14.25" customHeight="1" x14ac:dyDescent="0.2">
      <c r="A203" s="82"/>
      <c r="B203" s="83"/>
      <c r="C203" s="87"/>
    </row>
    <row r="204" spans="1:6" ht="14.25" customHeight="1" x14ac:dyDescent="0.2">
      <c r="A204" s="82"/>
      <c r="B204" s="83"/>
      <c r="C204" s="87"/>
    </row>
    <row r="205" spans="1:6" ht="14.25" customHeight="1" x14ac:dyDescent="0.2">
      <c r="A205" s="82"/>
      <c r="B205" s="83"/>
      <c r="C205" s="87"/>
    </row>
    <row r="206" spans="1:6" ht="14.25" customHeight="1" x14ac:dyDescent="0.2">
      <c r="A206" s="82"/>
      <c r="B206" s="83"/>
      <c r="C206" s="87"/>
    </row>
    <row r="207" spans="1:6" ht="14.25" customHeight="1" x14ac:dyDescent="0.2">
      <c r="A207" s="82"/>
      <c r="B207" s="83"/>
      <c r="C207" s="87"/>
    </row>
    <row r="208" spans="1:6" ht="14.25" customHeight="1" x14ac:dyDescent="0.2">
      <c r="A208" s="82"/>
      <c r="B208" s="83"/>
      <c r="C208" s="87"/>
    </row>
    <row r="209" spans="1:27" ht="14.25" customHeight="1" x14ac:dyDescent="0.2">
      <c r="A209" s="82"/>
      <c r="B209" s="83"/>
      <c r="C209" s="87"/>
    </row>
    <row r="210" spans="1:27" ht="14.25" customHeight="1" x14ac:dyDescent="0.2">
      <c r="A210" s="82"/>
      <c r="B210" s="83"/>
      <c r="C210" s="87"/>
    </row>
    <row r="211" spans="1:27" ht="14.25" customHeight="1" x14ac:dyDescent="0.2">
      <c r="A211" s="82"/>
      <c r="B211" s="83"/>
      <c r="C211" s="87"/>
      <c r="H211" s="91"/>
      <c r="I211" s="91"/>
      <c r="J211" s="91"/>
      <c r="K211" s="91"/>
      <c r="L211" s="91"/>
      <c r="M211" s="91"/>
      <c r="N211" s="91"/>
      <c r="O211" s="91"/>
      <c r="P211" s="91"/>
      <c r="Q211" s="91"/>
      <c r="R211" s="91"/>
      <c r="S211" s="91"/>
      <c r="T211" s="91"/>
      <c r="U211" s="91"/>
      <c r="V211" s="91"/>
      <c r="W211" s="91"/>
      <c r="X211" s="91"/>
      <c r="Y211" s="91"/>
      <c r="Z211" s="91"/>
      <c r="AA211" s="91"/>
    </row>
    <row r="212" spans="1:27" ht="14.25" customHeight="1" x14ac:dyDescent="0.2">
      <c r="A212" s="82"/>
      <c r="B212" s="83"/>
      <c r="C212" s="87"/>
    </row>
    <row r="213" spans="1:27" ht="14.25" customHeight="1" x14ac:dyDescent="0.2">
      <c r="A213" s="82"/>
      <c r="B213" s="83"/>
      <c r="C213" s="87"/>
    </row>
    <row r="214" spans="1:27" ht="14.25" customHeight="1" x14ac:dyDescent="0.2">
      <c r="A214" s="82"/>
      <c r="B214" s="83"/>
      <c r="C214" s="87"/>
    </row>
    <row r="215" spans="1:27" ht="14.25" customHeight="1" x14ac:dyDescent="0.2">
      <c r="A215" s="82"/>
      <c r="B215" s="83"/>
      <c r="C215" s="87"/>
    </row>
    <row r="216" spans="1:27" ht="14.25" customHeight="1" x14ac:dyDescent="0.2">
      <c r="A216" s="82"/>
      <c r="B216" s="83"/>
      <c r="C216" s="87"/>
    </row>
    <row r="217" spans="1:27" ht="14.25" customHeight="1" x14ac:dyDescent="0.2">
      <c r="A217" s="82"/>
      <c r="B217" s="83"/>
      <c r="C217" s="87"/>
    </row>
    <row r="218" spans="1:27" ht="14.25" customHeight="1" x14ac:dyDescent="0.2">
      <c r="A218" s="82"/>
      <c r="B218" s="83"/>
      <c r="C218" s="87"/>
    </row>
    <row r="219" spans="1:27" ht="14.25" customHeight="1" x14ac:dyDescent="0.2">
      <c r="A219" s="82"/>
      <c r="B219" s="83"/>
      <c r="C219" s="87"/>
    </row>
    <row r="220" spans="1:27" ht="14.25" customHeight="1" x14ac:dyDescent="0.2">
      <c r="A220" s="82"/>
      <c r="B220" s="83"/>
      <c r="C220" s="87"/>
    </row>
    <row r="221" spans="1:27" ht="14.25" customHeight="1" x14ac:dyDescent="0.2">
      <c r="A221" s="82"/>
      <c r="B221" s="83"/>
      <c r="C221" s="87"/>
    </row>
    <row r="222" spans="1:27" ht="14.25" customHeight="1" x14ac:dyDescent="0.2">
      <c r="A222" s="82"/>
      <c r="B222" s="83"/>
      <c r="C222" s="87"/>
    </row>
    <row r="223" spans="1:27" ht="14.25" customHeight="1" x14ac:dyDescent="0.2">
      <c r="A223" s="82"/>
      <c r="B223" s="83"/>
      <c r="C223" s="87"/>
    </row>
    <row r="224" spans="1:27" ht="14.25" customHeight="1" x14ac:dyDescent="0.2">
      <c r="A224" s="82"/>
      <c r="B224" s="83"/>
      <c r="C224" s="87"/>
    </row>
    <row r="225" spans="1:3" ht="14.25" customHeight="1" x14ac:dyDescent="0.2">
      <c r="A225" s="82"/>
      <c r="B225" s="83"/>
      <c r="C225" s="87"/>
    </row>
    <row r="226" spans="1:3" ht="14.25" customHeight="1" x14ac:dyDescent="0.2">
      <c r="A226" s="82"/>
      <c r="B226" s="83"/>
      <c r="C226" s="87"/>
    </row>
    <row r="227" spans="1:3" ht="14.25" customHeight="1" x14ac:dyDescent="0.2">
      <c r="A227" s="82"/>
      <c r="B227" s="83"/>
      <c r="C227" s="87"/>
    </row>
    <row r="228" spans="1:3" ht="14.25" customHeight="1" x14ac:dyDescent="0.2">
      <c r="A228" s="82"/>
      <c r="B228" s="83"/>
      <c r="C228" s="87"/>
    </row>
    <row r="229" spans="1:3" ht="14.25" customHeight="1" x14ac:dyDescent="0.2">
      <c r="A229" s="82"/>
      <c r="B229" s="83"/>
      <c r="C229" s="87"/>
    </row>
    <row r="230" spans="1:3" ht="14.25" customHeight="1" x14ac:dyDescent="0.2">
      <c r="A230" s="82"/>
      <c r="B230" s="83"/>
      <c r="C230" s="87"/>
    </row>
    <row r="231" spans="1:3" ht="14.25" customHeight="1" x14ac:dyDescent="0.2">
      <c r="A231" s="82"/>
      <c r="B231" s="83"/>
      <c r="C231" s="87"/>
    </row>
    <row r="232" spans="1:3" ht="14.25" customHeight="1" x14ac:dyDescent="0.2">
      <c r="A232" s="82"/>
      <c r="B232" s="83"/>
      <c r="C232" s="87"/>
    </row>
    <row r="233" spans="1:3" ht="14.25" customHeight="1" x14ac:dyDescent="0.2">
      <c r="A233" s="82"/>
      <c r="B233" s="83"/>
      <c r="C233" s="87"/>
    </row>
    <row r="234" spans="1:3" ht="14.25" customHeight="1" x14ac:dyDescent="0.2">
      <c r="A234" s="82"/>
      <c r="B234" s="83"/>
      <c r="C234" s="87"/>
    </row>
    <row r="235" spans="1:3" ht="14.25" customHeight="1" x14ac:dyDescent="0.2">
      <c r="A235" s="82"/>
      <c r="B235" s="83"/>
      <c r="C235" s="87"/>
    </row>
    <row r="236" spans="1:3" ht="14.25" customHeight="1" x14ac:dyDescent="0.2">
      <c r="A236" s="82"/>
      <c r="B236" s="83"/>
      <c r="C236" s="87"/>
    </row>
    <row r="237" spans="1:3" ht="14.25" customHeight="1" x14ac:dyDescent="0.2">
      <c r="A237" s="82"/>
      <c r="B237" s="83" t="e">
        <f t="shared" ref="B237:B491" si="0">IF(#REF!="credit",#REF!, (#REF!* -1))</f>
        <v>#REF!</v>
      </c>
      <c r="C237" s="87"/>
    </row>
    <row r="238" spans="1:3" ht="14.25" customHeight="1" x14ac:dyDescent="0.2">
      <c r="A238" s="82"/>
      <c r="B238" s="83" t="e">
        <f t="shared" si="0"/>
        <v>#REF!</v>
      </c>
      <c r="C238" s="87"/>
    </row>
    <row r="239" spans="1:3" ht="14.25" customHeight="1" x14ac:dyDescent="0.2">
      <c r="A239" s="82"/>
      <c r="B239" s="83" t="e">
        <f t="shared" si="0"/>
        <v>#REF!</v>
      </c>
      <c r="C239" s="87"/>
    </row>
    <row r="240" spans="1:3" ht="14.25" customHeight="1" x14ac:dyDescent="0.2">
      <c r="A240" s="82"/>
      <c r="B240" s="83" t="e">
        <f t="shared" si="0"/>
        <v>#REF!</v>
      </c>
      <c r="C240" s="87"/>
    </row>
    <row r="241" spans="1:3" ht="14.25" customHeight="1" x14ac:dyDescent="0.2">
      <c r="A241" s="82"/>
      <c r="B241" s="83" t="e">
        <f t="shared" si="0"/>
        <v>#REF!</v>
      </c>
      <c r="C241" s="87"/>
    </row>
    <row r="242" spans="1:3" ht="14.25" customHeight="1" x14ac:dyDescent="0.2">
      <c r="A242" s="82"/>
      <c r="B242" s="83" t="e">
        <f t="shared" si="0"/>
        <v>#REF!</v>
      </c>
      <c r="C242" s="87"/>
    </row>
    <row r="243" spans="1:3" ht="14.25" customHeight="1" x14ac:dyDescent="0.2">
      <c r="A243" s="82"/>
      <c r="B243" s="83" t="e">
        <f t="shared" si="0"/>
        <v>#REF!</v>
      </c>
      <c r="C243" s="87"/>
    </row>
    <row r="244" spans="1:3" ht="14.25" customHeight="1" x14ac:dyDescent="0.2">
      <c r="A244" s="82"/>
      <c r="B244" s="83" t="e">
        <f t="shared" si="0"/>
        <v>#REF!</v>
      </c>
      <c r="C244" s="87"/>
    </row>
    <row r="245" spans="1:3" ht="14.25" customHeight="1" x14ac:dyDescent="0.2">
      <c r="A245" s="82"/>
      <c r="B245" s="83" t="e">
        <f t="shared" si="0"/>
        <v>#REF!</v>
      </c>
      <c r="C245" s="87"/>
    </row>
    <row r="246" spans="1:3" ht="14.25" customHeight="1" x14ac:dyDescent="0.2">
      <c r="A246" s="82"/>
      <c r="B246" s="83" t="e">
        <f t="shared" si="0"/>
        <v>#REF!</v>
      </c>
      <c r="C246" s="87"/>
    </row>
    <row r="247" spans="1:3" ht="14.25" customHeight="1" x14ac:dyDescent="0.2">
      <c r="A247" s="82"/>
      <c r="B247" s="83" t="e">
        <f t="shared" si="0"/>
        <v>#REF!</v>
      </c>
      <c r="C247" s="87"/>
    </row>
    <row r="248" spans="1:3" ht="14.25" customHeight="1" x14ac:dyDescent="0.2">
      <c r="A248" s="82"/>
      <c r="B248" s="83" t="e">
        <f t="shared" si="0"/>
        <v>#REF!</v>
      </c>
      <c r="C248" s="87"/>
    </row>
    <row r="249" spans="1:3" ht="14.25" customHeight="1" x14ac:dyDescent="0.2">
      <c r="A249" s="82"/>
      <c r="B249" s="83" t="e">
        <f t="shared" si="0"/>
        <v>#REF!</v>
      </c>
      <c r="C249" s="87"/>
    </row>
    <row r="250" spans="1:3" ht="14.25" customHeight="1" x14ac:dyDescent="0.2">
      <c r="A250" s="82"/>
      <c r="B250" s="83" t="e">
        <f t="shared" si="0"/>
        <v>#REF!</v>
      </c>
      <c r="C250" s="87"/>
    </row>
    <row r="251" spans="1:3" ht="14.25" customHeight="1" x14ac:dyDescent="0.2">
      <c r="A251" s="82"/>
      <c r="B251" s="83" t="e">
        <f t="shared" si="0"/>
        <v>#REF!</v>
      </c>
      <c r="C251" s="87"/>
    </row>
    <row r="252" spans="1:3" ht="14.25" customHeight="1" x14ac:dyDescent="0.2">
      <c r="A252" s="82"/>
      <c r="B252" s="83" t="e">
        <f t="shared" si="0"/>
        <v>#REF!</v>
      </c>
      <c r="C252" s="87"/>
    </row>
    <row r="253" spans="1:3" ht="14.25" customHeight="1" x14ac:dyDescent="0.2">
      <c r="A253" s="82"/>
      <c r="B253" s="83" t="e">
        <f t="shared" si="0"/>
        <v>#REF!</v>
      </c>
      <c r="C253" s="87"/>
    </row>
    <row r="254" spans="1:3" ht="14.25" customHeight="1" x14ac:dyDescent="0.2">
      <c r="A254" s="82"/>
      <c r="B254" s="83" t="e">
        <f t="shared" si="0"/>
        <v>#REF!</v>
      </c>
      <c r="C254" s="87"/>
    </row>
    <row r="255" spans="1:3" ht="14.25" customHeight="1" x14ac:dyDescent="0.2">
      <c r="A255" s="82"/>
      <c r="B255" s="83" t="e">
        <f t="shared" si="0"/>
        <v>#REF!</v>
      </c>
      <c r="C255" s="87"/>
    </row>
    <row r="256" spans="1:3" ht="14.25" customHeight="1" x14ac:dyDescent="0.2">
      <c r="A256" s="82"/>
      <c r="B256" s="83" t="e">
        <f t="shared" si="0"/>
        <v>#REF!</v>
      </c>
      <c r="C256" s="87"/>
    </row>
    <row r="257" spans="1:3" ht="14.25" customHeight="1" x14ac:dyDescent="0.2">
      <c r="A257" s="82"/>
      <c r="B257" s="83" t="e">
        <f t="shared" si="0"/>
        <v>#REF!</v>
      </c>
      <c r="C257" s="87"/>
    </row>
    <row r="258" spans="1:3" ht="14.25" customHeight="1" x14ac:dyDescent="0.2">
      <c r="A258" s="82"/>
      <c r="B258" s="83" t="e">
        <f t="shared" si="0"/>
        <v>#REF!</v>
      </c>
      <c r="C258" s="87"/>
    </row>
    <row r="259" spans="1:3" ht="14.25" customHeight="1" x14ac:dyDescent="0.2">
      <c r="A259" s="82"/>
      <c r="B259" s="83" t="e">
        <f t="shared" si="0"/>
        <v>#REF!</v>
      </c>
      <c r="C259" s="87"/>
    </row>
    <row r="260" spans="1:3" ht="14.25" customHeight="1" x14ac:dyDescent="0.2">
      <c r="A260" s="82"/>
      <c r="B260" s="83" t="e">
        <f t="shared" si="0"/>
        <v>#REF!</v>
      </c>
      <c r="C260" s="87"/>
    </row>
    <row r="261" spans="1:3" ht="14.25" customHeight="1" x14ac:dyDescent="0.2">
      <c r="A261" s="82"/>
      <c r="B261" s="83" t="e">
        <f t="shared" si="0"/>
        <v>#REF!</v>
      </c>
      <c r="C261" s="87"/>
    </row>
    <row r="262" spans="1:3" ht="14.25" customHeight="1" x14ac:dyDescent="0.2">
      <c r="A262" s="82"/>
      <c r="B262" s="83" t="e">
        <f t="shared" si="0"/>
        <v>#REF!</v>
      </c>
      <c r="C262" s="87"/>
    </row>
    <row r="263" spans="1:3" ht="14.25" customHeight="1" x14ac:dyDescent="0.2">
      <c r="A263" s="82"/>
      <c r="B263" s="83" t="e">
        <f t="shared" si="0"/>
        <v>#REF!</v>
      </c>
      <c r="C263" s="87"/>
    </row>
    <row r="264" spans="1:3" ht="14.25" customHeight="1" x14ac:dyDescent="0.2">
      <c r="A264" s="82"/>
      <c r="B264" s="83" t="e">
        <f t="shared" si="0"/>
        <v>#REF!</v>
      </c>
      <c r="C264" s="87"/>
    </row>
    <row r="265" spans="1:3" ht="14.25" customHeight="1" x14ac:dyDescent="0.2">
      <c r="A265" s="82"/>
      <c r="B265" s="83" t="e">
        <f t="shared" si="0"/>
        <v>#REF!</v>
      </c>
      <c r="C265" s="87"/>
    </row>
    <row r="266" spans="1:3" ht="14.25" customHeight="1" x14ac:dyDescent="0.2">
      <c r="A266" s="82"/>
      <c r="B266" s="83" t="e">
        <f t="shared" si="0"/>
        <v>#REF!</v>
      </c>
      <c r="C266" s="87"/>
    </row>
    <row r="267" spans="1:3" ht="14.25" customHeight="1" x14ac:dyDescent="0.2">
      <c r="A267" s="82"/>
      <c r="B267" s="83" t="e">
        <f t="shared" si="0"/>
        <v>#REF!</v>
      </c>
      <c r="C267" s="87"/>
    </row>
    <row r="268" spans="1:3" ht="14.25" customHeight="1" x14ac:dyDescent="0.2">
      <c r="A268" s="82"/>
      <c r="B268" s="83" t="e">
        <f t="shared" si="0"/>
        <v>#REF!</v>
      </c>
      <c r="C268" s="87"/>
    </row>
    <row r="269" spans="1:3" ht="14.25" customHeight="1" x14ac:dyDescent="0.2">
      <c r="A269" s="82"/>
      <c r="B269" s="83" t="e">
        <f t="shared" si="0"/>
        <v>#REF!</v>
      </c>
      <c r="C269" s="87"/>
    </row>
    <row r="270" spans="1:3" ht="14.25" customHeight="1" x14ac:dyDescent="0.2">
      <c r="A270" s="82"/>
      <c r="B270" s="83" t="e">
        <f t="shared" si="0"/>
        <v>#REF!</v>
      </c>
      <c r="C270" s="87"/>
    </row>
    <row r="271" spans="1:3" ht="14.25" customHeight="1" x14ac:dyDescent="0.2">
      <c r="A271" s="82"/>
      <c r="B271" s="83" t="e">
        <f t="shared" si="0"/>
        <v>#REF!</v>
      </c>
      <c r="C271" s="87"/>
    </row>
    <row r="272" spans="1:3" ht="14.25" customHeight="1" x14ac:dyDescent="0.2">
      <c r="A272" s="82"/>
      <c r="B272" s="83" t="e">
        <f t="shared" si="0"/>
        <v>#REF!</v>
      </c>
      <c r="C272" s="87"/>
    </row>
    <row r="273" spans="1:3" ht="14.25" customHeight="1" x14ac:dyDescent="0.2">
      <c r="A273" s="82"/>
      <c r="B273" s="83" t="e">
        <f t="shared" si="0"/>
        <v>#REF!</v>
      </c>
      <c r="C273" s="87"/>
    </row>
    <row r="274" spans="1:3" ht="14.25" customHeight="1" x14ac:dyDescent="0.2">
      <c r="A274" s="82"/>
      <c r="B274" s="83" t="e">
        <f t="shared" si="0"/>
        <v>#REF!</v>
      </c>
      <c r="C274" s="87"/>
    </row>
    <row r="275" spans="1:3" ht="14.25" customHeight="1" x14ac:dyDescent="0.2">
      <c r="A275" s="82"/>
      <c r="B275" s="83" t="e">
        <f t="shared" si="0"/>
        <v>#REF!</v>
      </c>
      <c r="C275" s="87"/>
    </row>
    <row r="276" spans="1:3" ht="14.25" customHeight="1" x14ac:dyDescent="0.2">
      <c r="A276" s="82"/>
      <c r="B276" s="83" t="e">
        <f t="shared" si="0"/>
        <v>#REF!</v>
      </c>
      <c r="C276" s="87"/>
    </row>
    <row r="277" spans="1:3" ht="14.25" customHeight="1" x14ac:dyDescent="0.2">
      <c r="A277" s="82"/>
      <c r="B277" s="83" t="e">
        <f t="shared" si="0"/>
        <v>#REF!</v>
      </c>
      <c r="C277" s="87"/>
    </row>
    <row r="278" spans="1:3" ht="14.25" customHeight="1" x14ac:dyDescent="0.2">
      <c r="A278" s="82"/>
      <c r="B278" s="83" t="e">
        <f t="shared" si="0"/>
        <v>#REF!</v>
      </c>
      <c r="C278" s="87"/>
    </row>
    <row r="279" spans="1:3" ht="14.25" customHeight="1" x14ac:dyDescent="0.2">
      <c r="A279" s="82"/>
      <c r="B279" s="83" t="e">
        <f t="shared" si="0"/>
        <v>#REF!</v>
      </c>
      <c r="C279" s="87"/>
    </row>
    <row r="280" spans="1:3" ht="14.25" customHeight="1" x14ac:dyDescent="0.2">
      <c r="A280" s="82"/>
      <c r="B280" s="83" t="e">
        <f t="shared" si="0"/>
        <v>#REF!</v>
      </c>
      <c r="C280" s="87"/>
    </row>
    <row r="281" spans="1:3" ht="14.25" customHeight="1" x14ac:dyDescent="0.2">
      <c r="A281" s="82"/>
      <c r="B281" s="83" t="e">
        <f t="shared" si="0"/>
        <v>#REF!</v>
      </c>
      <c r="C281" s="87"/>
    </row>
    <row r="282" spans="1:3" ht="14.25" customHeight="1" x14ac:dyDescent="0.2">
      <c r="A282" s="82"/>
      <c r="B282" s="83" t="e">
        <f t="shared" si="0"/>
        <v>#REF!</v>
      </c>
      <c r="C282" s="87"/>
    </row>
    <row r="283" spans="1:3" ht="14.25" customHeight="1" x14ac:dyDescent="0.2">
      <c r="A283" s="82"/>
      <c r="B283" s="83" t="e">
        <f t="shared" si="0"/>
        <v>#REF!</v>
      </c>
      <c r="C283" s="87"/>
    </row>
    <row r="284" spans="1:3" ht="14.25" customHeight="1" x14ac:dyDescent="0.2">
      <c r="A284" s="82"/>
      <c r="B284" s="83" t="e">
        <f t="shared" si="0"/>
        <v>#REF!</v>
      </c>
      <c r="C284" s="87"/>
    </row>
    <row r="285" spans="1:3" ht="14.25" customHeight="1" x14ac:dyDescent="0.2">
      <c r="A285" s="82"/>
      <c r="B285" s="83" t="e">
        <f t="shared" si="0"/>
        <v>#REF!</v>
      </c>
      <c r="C285" s="87"/>
    </row>
    <row r="286" spans="1:3" ht="14.25" customHeight="1" x14ac:dyDescent="0.2">
      <c r="A286" s="82"/>
      <c r="B286" s="83" t="e">
        <f t="shared" si="0"/>
        <v>#REF!</v>
      </c>
      <c r="C286" s="87"/>
    </row>
    <row r="287" spans="1:3" ht="14.25" customHeight="1" x14ac:dyDescent="0.2">
      <c r="A287" s="82"/>
      <c r="B287" s="83" t="e">
        <f t="shared" si="0"/>
        <v>#REF!</v>
      </c>
      <c r="C287" s="87"/>
    </row>
    <row r="288" spans="1:3" ht="14.25" customHeight="1" x14ac:dyDescent="0.2">
      <c r="A288" s="82"/>
      <c r="B288" s="83" t="e">
        <f t="shared" si="0"/>
        <v>#REF!</v>
      </c>
      <c r="C288" s="87"/>
    </row>
    <row r="289" spans="1:3" ht="14.25" customHeight="1" x14ac:dyDescent="0.2">
      <c r="A289" s="82"/>
      <c r="B289" s="83" t="e">
        <f t="shared" si="0"/>
        <v>#REF!</v>
      </c>
      <c r="C289" s="87"/>
    </row>
    <row r="290" spans="1:3" ht="14.25" customHeight="1" x14ac:dyDescent="0.2">
      <c r="A290" s="82"/>
      <c r="B290" s="83" t="e">
        <f t="shared" si="0"/>
        <v>#REF!</v>
      </c>
      <c r="C290" s="87"/>
    </row>
    <row r="291" spans="1:3" ht="14.25" customHeight="1" x14ac:dyDescent="0.2">
      <c r="A291" s="82"/>
      <c r="B291" s="83" t="e">
        <f t="shared" si="0"/>
        <v>#REF!</v>
      </c>
      <c r="C291" s="87"/>
    </row>
    <row r="292" spans="1:3" ht="14.25" customHeight="1" x14ac:dyDescent="0.2">
      <c r="A292" s="82"/>
      <c r="B292" s="83" t="e">
        <f t="shared" si="0"/>
        <v>#REF!</v>
      </c>
      <c r="C292" s="87"/>
    </row>
    <row r="293" spans="1:3" ht="14.25" customHeight="1" x14ac:dyDescent="0.2">
      <c r="A293" s="82"/>
      <c r="B293" s="83" t="e">
        <f t="shared" si="0"/>
        <v>#REF!</v>
      </c>
      <c r="C293" s="87"/>
    </row>
    <row r="294" spans="1:3" ht="14.25" customHeight="1" x14ac:dyDescent="0.2">
      <c r="A294" s="82"/>
      <c r="B294" s="83" t="e">
        <f t="shared" si="0"/>
        <v>#REF!</v>
      </c>
      <c r="C294" s="87"/>
    </row>
    <row r="295" spans="1:3" ht="14.25" customHeight="1" x14ac:dyDescent="0.2">
      <c r="A295" s="82"/>
      <c r="B295" s="83" t="e">
        <f t="shared" si="0"/>
        <v>#REF!</v>
      </c>
      <c r="C295" s="87"/>
    </row>
    <row r="296" spans="1:3" ht="14.25" customHeight="1" x14ac:dyDescent="0.2">
      <c r="A296" s="82"/>
      <c r="B296" s="83" t="e">
        <f t="shared" si="0"/>
        <v>#REF!</v>
      </c>
      <c r="C296" s="87"/>
    </row>
    <row r="297" spans="1:3" ht="14.25" customHeight="1" x14ac:dyDescent="0.2">
      <c r="A297" s="82"/>
      <c r="B297" s="83" t="e">
        <f t="shared" si="0"/>
        <v>#REF!</v>
      </c>
      <c r="C297" s="87"/>
    </row>
    <row r="298" spans="1:3" ht="14.25" customHeight="1" x14ac:dyDescent="0.2">
      <c r="A298" s="82"/>
      <c r="B298" s="83" t="e">
        <f t="shared" si="0"/>
        <v>#REF!</v>
      </c>
      <c r="C298" s="87"/>
    </row>
    <row r="299" spans="1:3" ht="14.25" customHeight="1" x14ac:dyDescent="0.2">
      <c r="A299" s="82"/>
      <c r="B299" s="83" t="e">
        <f t="shared" si="0"/>
        <v>#REF!</v>
      </c>
      <c r="C299" s="87"/>
    </row>
    <row r="300" spans="1:3" ht="14.25" customHeight="1" x14ac:dyDescent="0.2">
      <c r="A300" s="82"/>
      <c r="B300" s="83" t="e">
        <f t="shared" si="0"/>
        <v>#REF!</v>
      </c>
      <c r="C300" s="87"/>
    </row>
    <row r="301" spans="1:3" ht="14.25" customHeight="1" x14ac:dyDescent="0.2">
      <c r="A301" s="82"/>
      <c r="B301" s="83" t="e">
        <f t="shared" si="0"/>
        <v>#REF!</v>
      </c>
      <c r="C301" s="87"/>
    </row>
    <row r="302" spans="1:3" ht="14.25" customHeight="1" x14ac:dyDescent="0.2">
      <c r="A302" s="82"/>
      <c r="B302" s="83" t="e">
        <f t="shared" si="0"/>
        <v>#REF!</v>
      </c>
      <c r="C302" s="87"/>
    </row>
    <row r="303" spans="1:3" ht="14.25" customHeight="1" x14ac:dyDescent="0.2">
      <c r="A303" s="82"/>
      <c r="B303" s="83" t="e">
        <f t="shared" si="0"/>
        <v>#REF!</v>
      </c>
      <c r="C303" s="87"/>
    </row>
    <row r="304" spans="1:3" ht="14.25" customHeight="1" x14ac:dyDescent="0.2">
      <c r="A304" s="82"/>
      <c r="B304" s="83" t="e">
        <f t="shared" si="0"/>
        <v>#REF!</v>
      </c>
      <c r="C304" s="87"/>
    </row>
    <row r="305" spans="1:3" ht="14.25" customHeight="1" x14ac:dyDescent="0.2">
      <c r="A305" s="82"/>
      <c r="B305" s="83" t="e">
        <f t="shared" si="0"/>
        <v>#REF!</v>
      </c>
      <c r="C305" s="87"/>
    </row>
    <row r="306" spans="1:3" ht="14.25" customHeight="1" x14ac:dyDescent="0.2">
      <c r="A306" s="82"/>
      <c r="B306" s="83" t="e">
        <f t="shared" si="0"/>
        <v>#REF!</v>
      </c>
      <c r="C306" s="87"/>
    </row>
    <row r="307" spans="1:3" ht="14.25" customHeight="1" x14ac:dyDescent="0.2">
      <c r="A307" s="82"/>
      <c r="B307" s="83" t="e">
        <f t="shared" si="0"/>
        <v>#REF!</v>
      </c>
      <c r="C307" s="87"/>
    </row>
    <row r="308" spans="1:3" ht="14.25" customHeight="1" x14ac:dyDescent="0.2">
      <c r="A308" s="82"/>
      <c r="B308" s="83" t="e">
        <f t="shared" si="0"/>
        <v>#REF!</v>
      </c>
      <c r="C308" s="87"/>
    </row>
    <row r="309" spans="1:3" ht="14.25" customHeight="1" x14ac:dyDescent="0.2">
      <c r="A309" s="82"/>
      <c r="B309" s="83" t="e">
        <f t="shared" si="0"/>
        <v>#REF!</v>
      </c>
      <c r="C309" s="87"/>
    </row>
    <row r="310" spans="1:3" ht="14.25" customHeight="1" x14ac:dyDescent="0.2">
      <c r="A310" s="82"/>
      <c r="B310" s="83" t="e">
        <f t="shared" si="0"/>
        <v>#REF!</v>
      </c>
      <c r="C310" s="87"/>
    </row>
    <row r="311" spans="1:3" ht="14.25" customHeight="1" x14ac:dyDescent="0.2">
      <c r="A311" s="82"/>
      <c r="B311" s="83" t="e">
        <f t="shared" si="0"/>
        <v>#REF!</v>
      </c>
      <c r="C311" s="87"/>
    </row>
    <row r="312" spans="1:3" ht="14.25" customHeight="1" x14ac:dyDescent="0.2">
      <c r="A312" s="82"/>
      <c r="B312" s="83" t="e">
        <f t="shared" si="0"/>
        <v>#REF!</v>
      </c>
      <c r="C312" s="87"/>
    </row>
    <row r="313" spans="1:3" ht="14.25" customHeight="1" x14ac:dyDescent="0.2">
      <c r="A313" s="82"/>
      <c r="B313" s="83" t="e">
        <f t="shared" si="0"/>
        <v>#REF!</v>
      </c>
      <c r="C313" s="87"/>
    </row>
    <row r="314" spans="1:3" ht="14.25" customHeight="1" x14ac:dyDescent="0.2">
      <c r="A314" s="82"/>
      <c r="B314" s="83" t="e">
        <f t="shared" si="0"/>
        <v>#REF!</v>
      </c>
      <c r="C314" s="87"/>
    </row>
    <row r="315" spans="1:3" ht="14.25" customHeight="1" x14ac:dyDescent="0.2">
      <c r="A315" s="82"/>
      <c r="B315" s="83" t="e">
        <f t="shared" si="0"/>
        <v>#REF!</v>
      </c>
      <c r="C315" s="87"/>
    </row>
    <row r="316" spans="1:3" ht="14.25" customHeight="1" x14ac:dyDescent="0.2">
      <c r="A316" s="82"/>
      <c r="B316" s="83" t="e">
        <f t="shared" si="0"/>
        <v>#REF!</v>
      </c>
      <c r="C316" s="87"/>
    </row>
    <row r="317" spans="1:3" ht="14.25" customHeight="1" x14ac:dyDescent="0.2">
      <c r="A317" s="82"/>
      <c r="B317" s="83" t="e">
        <f t="shared" si="0"/>
        <v>#REF!</v>
      </c>
      <c r="C317" s="87"/>
    </row>
    <row r="318" spans="1:3" ht="14.25" customHeight="1" x14ac:dyDescent="0.2">
      <c r="A318" s="82"/>
      <c r="B318" s="83" t="e">
        <f t="shared" si="0"/>
        <v>#REF!</v>
      </c>
      <c r="C318" s="87"/>
    </row>
    <row r="319" spans="1:3" ht="14.25" customHeight="1" x14ac:dyDescent="0.2">
      <c r="A319" s="82"/>
      <c r="B319" s="83" t="e">
        <f t="shared" si="0"/>
        <v>#REF!</v>
      </c>
      <c r="C319" s="87"/>
    </row>
    <row r="320" spans="1:3" ht="14.25" customHeight="1" x14ac:dyDescent="0.2">
      <c r="A320" s="82"/>
      <c r="B320" s="83" t="e">
        <f t="shared" si="0"/>
        <v>#REF!</v>
      </c>
      <c r="C320" s="87"/>
    </row>
    <row r="321" spans="1:3" ht="14.25" customHeight="1" x14ac:dyDescent="0.2">
      <c r="A321" s="82"/>
      <c r="B321" s="83" t="e">
        <f t="shared" si="0"/>
        <v>#REF!</v>
      </c>
      <c r="C321" s="87"/>
    </row>
    <row r="322" spans="1:3" ht="14.25" customHeight="1" x14ac:dyDescent="0.2">
      <c r="A322" s="82"/>
      <c r="B322" s="83" t="e">
        <f t="shared" si="0"/>
        <v>#REF!</v>
      </c>
      <c r="C322" s="87"/>
    </row>
    <row r="323" spans="1:3" ht="14.25" customHeight="1" x14ac:dyDescent="0.2">
      <c r="A323" s="82"/>
      <c r="B323" s="83" t="e">
        <f t="shared" si="0"/>
        <v>#REF!</v>
      </c>
      <c r="C323" s="87"/>
    </row>
    <row r="324" spans="1:3" ht="14.25" customHeight="1" x14ac:dyDescent="0.2">
      <c r="A324" s="82"/>
      <c r="B324" s="83" t="e">
        <f t="shared" si="0"/>
        <v>#REF!</v>
      </c>
      <c r="C324" s="87"/>
    </row>
    <row r="325" spans="1:3" ht="14.25" customHeight="1" x14ac:dyDescent="0.2">
      <c r="A325" s="82"/>
      <c r="B325" s="83" t="e">
        <f t="shared" si="0"/>
        <v>#REF!</v>
      </c>
      <c r="C325" s="87"/>
    </row>
    <row r="326" spans="1:3" ht="14.25" customHeight="1" x14ac:dyDescent="0.2">
      <c r="A326" s="82"/>
      <c r="B326" s="83" t="e">
        <f t="shared" si="0"/>
        <v>#REF!</v>
      </c>
      <c r="C326" s="87"/>
    </row>
    <row r="327" spans="1:3" ht="14.25" customHeight="1" x14ac:dyDescent="0.2">
      <c r="A327" s="82"/>
      <c r="B327" s="83" t="e">
        <f t="shared" si="0"/>
        <v>#REF!</v>
      </c>
      <c r="C327" s="87"/>
    </row>
    <row r="328" spans="1:3" ht="14.25" customHeight="1" x14ac:dyDescent="0.2">
      <c r="A328" s="82"/>
      <c r="B328" s="83" t="e">
        <f t="shared" si="0"/>
        <v>#REF!</v>
      </c>
      <c r="C328" s="87"/>
    </row>
    <row r="329" spans="1:3" ht="14.25" customHeight="1" x14ac:dyDescent="0.2">
      <c r="A329" s="82"/>
      <c r="B329" s="83" t="e">
        <f t="shared" si="0"/>
        <v>#REF!</v>
      </c>
      <c r="C329" s="87"/>
    </row>
    <row r="330" spans="1:3" ht="14.25" customHeight="1" x14ac:dyDescent="0.2">
      <c r="A330" s="82"/>
      <c r="B330" s="83" t="e">
        <f t="shared" si="0"/>
        <v>#REF!</v>
      </c>
      <c r="C330" s="87"/>
    </row>
    <row r="331" spans="1:3" ht="14.25" customHeight="1" x14ac:dyDescent="0.2">
      <c r="A331" s="82"/>
      <c r="B331" s="83" t="e">
        <f t="shared" si="0"/>
        <v>#REF!</v>
      </c>
      <c r="C331" s="87"/>
    </row>
    <row r="332" spans="1:3" ht="14.25" customHeight="1" x14ac:dyDescent="0.2">
      <c r="A332" s="82"/>
      <c r="B332" s="83" t="e">
        <f t="shared" si="0"/>
        <v>#REF!</v>
      </c>
      <c r="C332" s="87"/>
    </row>
    <row r="333" spans="1:3" ht="14.25" customHeight="1" x14ac:dyDescent="0.2">
      <c r="A333" s="82"/>
      <c r="B333" s="83" t="e">
        <f t="shared" si="0"/>
        <v>#REF!</v>
      </c>
      <c r="C333" s="87"/>
    </row>
    <row r="334" spans="1:3" ht="14.25" customHeight="1" x14ac:dyDescent="0.2">
      <c r="A334" s="82"/>
      <c r="B334" s="83" t="e">
        <f t="shared" si="0"/>
        <v>#REF!</v>
      </c>
      <c r="C334" s="87"/>
    </row>
    <row r="335" spans="1:3" ht="14.25" customHeight="1" x14ac:dyDescent="0.2">
      <c r="A335" s="82"/>
      <c r="B335" s="83" t="e">
        <f t="shared" si="0"/>
        <v>#REF!</v>
      </c>
      <c r="C335" s="87"/>
    </row>
    <row r="336" spans="1:3" ht="14.25" customHeight="1" x14ac:dyDescent="0.2">
      <c r="A336" s="82"/>
      <c r="B336" s="83" t="e">
        <f t="shared" si="0"/>
        <v>#REF!</v>
      </c>
      <c r="C336" s="87"/>
    </row>
    <row r="337" spans="1:3" ht="14.25" customHeight="1" x14ac:dyDescent="0.2">
      <c r="A337" s="82"/>
      <c r="B337" s="83" t="e">
        <f t="shared" si="0"/>
        <v>#REF!</v>
      </c>
      <c r="C337" s="87"/>
    </row>
    <row r="338" spans="1:3" ht="14.25" customHeight="1" x14ac:dyDescent="0.2">
      <c r="A338" s="82"/>
      <c r="B338" s="83" t="e">
        <f t="shared" si="0"/>
        <v>#REF!</v>
      </c>
      <c r="C338" s="87"/>
    </row>
    <row r="339" spans="1:3" ht="14.25" customHeight="1" x14ac:dyDescent="0.2">
      <c r="A339" s="82"/>
      <c r="B339" s="83" t="e">
        <f t="shared" si="0"/>
        <v>#REF!</v>
      </c>
      <c r="C339" s="87"/>
    </row>
    <row r="340" spans="1:3" ht="14.25" customHeight="1" x14ac:dyDescent="0.2">
      <c r="A340" s="82"/>
      <c r="B340" s="83" t="e">
        <f t="shared" si="0"/>
        <v>#REF!</v>
      </c>
      <c r="C340" s="87"/>
    </row>
    <row r="341" spans="1:3" ht="14.25" customHeight="1" x14ac:dyDescent="0.2">
      <c r="A341" s="82"/>
      <c r="B341" s="83" t="e">
        <f t="shared" si="0"/>
        <v>#REF!</v>
      </c>
      <c r="C341" s="87"/>
    </row>
    <row r="342" spans="1:3" ht="14.25" customHeight="1" x14ac:dyDescent="0.2">
      <c r="A342" s="82"/>
      <c r="B342" s="83" t="e">
        <f t="shared" si="0"/>
        <v>#REF!</v>
      </c>
      <c r="C342" s="87"/>
    </row>
    <row r="343" spans="1:3" ht="14.25" customHeight="1" x14ac:dyDescent="0.2">
      <c r="A343" s="82"/>
      <c r="B343" s="83" t="e">
        <f t="shared" si="0"/>
        <v>#REF!</v>
      </c>
      <c r="C343" s="87"/>
    </row>
    <row r="344" spans="1:3" ht="14.25" customHeight="1" x14ac:dyDescent="0.2">
      <c r="A344" s="82"/>
      <c r="B344" s="83" t="e">
        <f t="shared" si="0"/>
        <v>#REF!</v>
      </c>
      <c r="C344" s="87"/>
    </row>
    <row r="345" spans="1:3" ht="14.25" customHeight="1" x14ac:dyDescent="0.2">
      <c r="A345" s="82"/>
      <c r="B345" s="83" t="e">
        <f t="shared" si="0"/>
        <v>#REF!</v>
      </c>
      <c r="C345" s="87"/>
    </row>
    <row r="346" spans="1:3" ht="14.25" customHeight="1" x14ac:dyDescent="0.2">
      <c r="A346" s="82"/>
      <c r="B346" s="83" t="e">
        <f t="shared" si="0"/>
        <v>#REF!</v>
      </c>
      <c r="C346" s="87"/>
    </row>
    <row r="347" spans="1:3" ht="14.25" customHeight="1" x14ac:dyDescent="0.2">
      <c r="A347" s="82"/>
      <c r="B347" s="83" t="e">
        <f t="shared" si="0"/>
        <v>#REF!</v>
      </c>
      <c r="C347" s="87"/>
    </row>
    <row r="348" spans="1:3" ht="14.25" customHeight="1" x14ac:dyDescent="0.2">
      <c r="A348" s="82"/>
      <c r="B348" s="83" t="e">
        <f t="shared" si="0"/>
        <v>#REF!</v>
      </c>
      <c r="C348" s="87"/>
    </row>
    <row r="349" spans="1:3" ht="14.25" customHeight="1" x14ac:dyDescent="0.2">
      <c r="A349" s="82"/>
      <c r="B349" s="83" t="e">
        <f t="shared" si="0"/>
        <v>#REF!</v>
      </c>
      <c r="C349" s="87"/>
    </row>
    <row r="350" spans="1:3" ht="14.25" customHeight="1" x14ac:dyDescent="0.2">
      <c r="A350" s="82"/>
      <c r="B350" s="83" t="e">
        <f t="shared" si="0"/>
        <v>#REF!</v>
      </c>
      <c r="C350" s="87"/>
    </row>
    <row r="351" spans="1:3" ht="14.25" customHeight="1" x14ac:dyDescent="0.2">
      <c r="A351" s="82"/>
      <c r="B351" s="83" t="e">
        <f t="shared" si="0"/>
        <v>#REF!</v>
      </c>
      <c r="C351" s="87"/>
    </row>
    <row r="352" spans="1:3" ht="14.25" customHeight="1" x14ac:dyDescent="0.2">
      <c r="A352" s="82"/>
      <c r="B352" s="83" t="e">
        <f t="shared" si="0"/>
        <v>#REF!</v>
      </c>
      <c r="C352" s="87"/>
    </row>
    <row r="353" spans="1:3" ht="14.25" customHeight="1" x14ac:dyDescent="0.2">
      <c r="A353" s="82"/>
      <c r="B353" s="83" t="e">
        <f t="shared" si="0"/>
        <v>#REF!</v>
      </c>
      <c r="C353" s="87"/>
    </row>
    <row r="354" spans="1:3" ht="14.25" customHeight="1" x14ac:dyDescent="0.2">
      <c r="A354" s="82"/>
      <c r="B354" s="83" t="e">
        <f t="shared" si="0"/>
        <v>#REF!</v>
      </c>
      <c r="C354" s="87"/>
    </row>
    <row r="355" spans="1:3" ht="14.25" customHeight="1" x14ac:dyDescent="0.2">
      <c r="A355" s="82"/>
      <c r="B355" s="83" t="e">
        <f t="shared" si="0"/>
        <v>#REF!</v>
      </c>
      <c r="C355" s="87"/>
    </row>
    <row r="356" spans="1:3" ht="14.25" customHeight="1" x14ac:dyDescent="0.2">
      <c r="A356" s="82"/>
      <c r="B356" s="83" t="e">
        <f t="shared" si="0"/>
        <v>#REF!</v>
      </c>
      <c r="C356" s="87"/>
    </row>
    <row r="357" spans="1:3" ht="14.25" customHeight="1" x14ac:dyDescent="0.2">
      <c r="A357" s="82"/>
      <c r="B357" s="83" t="e">
        <f t="shared" si="0"/>
        <v>#REF!</v>
      </c>
      <c r="C357" s="87"/>
    </row>
    <row r="358" spans="1:3" ht="14.25" customHeight="1" x14ac:dyDescent="0.2">
      <c r="A358" s="82"/>
      <c r="B358" s="83" t="e">
        <f t="shared" si="0"/>
        <v>#REF!</v>
      </c>
      <c r="C358" s="87"/>
    </row>
    <row r="359" spans="1:3" ht="14.25" customHeight="1" x14ac:dyDescent="0.2">
      <c r="A359" s="82"/>
      <c r="B359" s="83" t="e">
        <f t="shared" si="0"/>
        <v>#REF!</v>
      </c>
      <c r="C359" s="87"/>
    </row>
    <row r="360" spans="1:3" ht="14.25" customHeight="1" x14ac:dyDescent="0.2">
      <c r="A360" s="82"/>
      <c r="B360" s="83" t="e">
        <f t="shared" si="0"/>
        <v>#REF!</v>
      </c>
      <c r="C360" s="87"/>
    </row>
    <row r="361" spans="1:3" ht="14.25" customHeight="1" x14ac:dyDescent="0.2">
      <c r="A361" s="82"/>
      <c r="B361" s="83" t="e">
        <f t="shared" si="0"/>
        <v>#REF!</v>
      </c>
      <c r="C361" s="87"/>
    </row>
    <row r="362" spans="1:3" ht="14.25" customHeight="1" x14ac:dyDescent="0.2">
      <c r="A362" s="82"/>
      <c r="B362" s="83" t="e">
        <f t="shared" si="0"/>
        <v>#REF!</v>
      </c>
      <c r="C362" s="87"/>
    </row>
    <row r="363" spans="1:3" ht="14.25" customHeight="1" x14ac:dyDescent="0.2">
      <c r="A363" s="82"/>
      <c r="B363" s="83" t="e">
        <f t="shared" si="0"/>
        <v>#REF!</v>
      </c>
      <c r="C363" s="87"/>
    </row>
    <row r="364" spans="1:3" ht="14.25" customHeight="1" x14ac:dyDescent="0.2">
      <c r="A364" s="82"/>
      <c r="B364" s="83" t="e">
        <f t="shared" si="0"/>
        <v>#REF!</v>
      </c>
      <c r="C364" s="87"/>
    </row>
    <row r="365" spans="1:3" ht="14.25" customHeight="1" x14ac:dyDescent="0.2">
      <c r="A365" s="82"/>
      <c r="B365" s="83" t="e">
        <f t="shared" si="0"/>
        <v>#REF!</v>
      </c>
      <c r="C365" s="87"/>
    </row>
    <row r="366" spans="1:3" ht="14.25" customHeight="1" x14ac:dyDescent="0.2">
      <c r="A366" s="82"/>
      <c r="B366" s="83" t="e">
        <f t="shared" si="0"/>
        <v>#REF!</v>
      </c>
      <c r="C366" s="87"/>
    </row>
    <row r="367" spans="1:3" ht="14.25" customHeight="1" x14ac:dyDescent="0.2">
      <c r="A367" s="82"/>
      <c r="B367" s="83" t="e">
        <f t="shared" si="0"/>
        <v>#REF!</v>
      </c>
      <c r="C367" s="87"/>
    </row>
    <row r="368" spans="1:3" ht="14.25" customHeight="1" x14ac:dyDescent="0.2">
      <c r="A368" s="82"/>
      <c r="B368" s="83" t="e">
        <f t="shared" si="0"/>
        <v>#REF!</v>
      </c>
      <c r="C368" s="87"/>
    </row>
    <row r="369" spans="1:6" ht="14.25" customHeight="1" x14ac:dyDescent="0.2">
      <c r="A369" s="82"/>
      <c r="B369" s="83" t="e">
        <f t="shared" si="0"/>
        <v>#REF!</v>
      </c>
      <c r="C369" s="87"/>
    </row>
    <row r="370" spans="1:6" ht="14.25" customHeight="1" x14ac:dyDescent="0.2">
      <c r="A370" s="82"/>
      <c r="B370" s="83" t="e">
        <f t="shared" si="0"/>
        <v>#REF!</v>
      </c>
      <c r="C370" s="87"/>
    </row>
    <row r="371" spans="1:6" ht="14.25" customHeight="1" x14ac:dyDescent="0.2">
      <c r="A371" s="82"/>
      <c r="B371" s="83" t="e">
        <f t="shared" si="0"/>
        <v>#REF!</v>
      </c>
      <c r="C371" s="87"/>
    </row>
    <row r="372" spans="1:6" ht="14.25" customHeight="1" x14ac:dyDescent="0.2">
      <c r="A372" s="82"/>
      <c r="B372" s="83" t="e">
        <f t="shared" si="0"/>
        <v>#REF!</v>
      </c>
      <c r="C372" s="87"/>
    </row>
    <row r="373" spans="1:6" ht="14.25" customHeight="1" x14ac:dyDescent="0.2">
      <c r="A373" s="82"/>
      <c r="B373" s="83" t="e">
        <f t="shared" si="0"/>
        <v>#REF!</v>
      </c>
      <c r="C373" s="87"/>
    </row>
    <row r="374" spans="1:6" ht="14.25" customHeight="1" x14ac:dyDescent="0.2">
      <c r="A374" s="82"/>
      <c r="B374" s="83" t="e">
        <f t="shared" si="0"/>
        <v>#REF!</v>
      </c>
      <c r="C374" s="87"/>
    </row>
    <row r="375" spans="1:6" ht="14.25" customHeight="1" x14ac:dyDescent="0.2">
      <c r="A375" s="82"/>
      <c r="B375" s="83" t="e">
        <f t="shared" si="0"/>
        <v>#REF!</v>
      </c>
      <c r="C375" s="87"/>
    </row>
    <row r="376" spans="1:6" ht="14.25" customHeight="1" x14ac:dyDescent="0.2">
      <c r="A376" s="82"/>
      <c r="B376" s="83" t="e">
        <f t="shared" si="0"/>
        <v>#REF!</v>
      </c>
      <c r="C376" s="87"/>
    </row>
    <row r="377" spans="1:6" ht="14.25" customHeight="1" x14ac:dyDescent="0.2">
      <c r="A377" s="82"/>
      <c r="B377" s="83" t="e">
        <f t="shared" si="0"/>
        <v>#REF!</v>
      </c>
      <c r="C377" s="87"/>
    </row>
    <row r="378" spans="1:6" ht="14.25" customHeight="1" x14ac:dyDescent="0.2">
      <c r="A378" s="82"/>
      <c r="B378" s="83" t="e">
        <f t="shared" si="0"/>
        <v>#REF!</v>
      </c>
      <c r="C378" s="87"/>
      <c r="F378" s="86"/>
    </row>
    <row r="379" spans="1:6" ht="14.25" customHeight="1" x14ac:dyDescent="0.2">
      <c r="A379" s="82"/>
      <c r="B379" s="83" t="e">
        <f t="shared" si="0"/>
        <v>#REF!</v>
      </c>
      <c r="C379" s="87"/>
      <c r="F379" s="86"/>
    </row>
    <row r="380" spans="1:6" ht="14.25" customHeight="1" x14ac:dyDescent="0.2">
      <c r="A380" s="82"/>
      <c r="B380" s="83" t="e">
        <f t="shared" si="0"/>
        <v>#REF!</v>
      </c>
      <c r="C380" s="87"/>
      <c r="F380" s="86"/>
    </row>
    <row r="381" spans="1:6" ht="14.25" customHeight="1" x14ac:dyDescent="0.2">
      <c r="A381" s="82"/>
      <c r="B381" s="83" t="e">
        <f t="shared" si="0"/>
        <v>#REF!</v>
      </c>
      <c r="C381" s="87"/>
    </row>
    <row r="382" spans="1:6" ht="14.25" customHeight="1" x14ac:dyDescent="0.2">
      <c r="A382" s="82"/>
      <c r="B382" s="83" t="e">
        <f t="shared" si="0"/>
        <v>#REF!</v>
      </c>
      <c r="C382" s="87"/>
    </row>
    <row r="383" spans="1:6" ht="14.25" customHeight="1" x14ac:dyDescent="0.2">
      <c r="A383" s="82"/>
      <c r="B383" s="83" t="e">
        <f t="shared" si="0"/>
        <v>#REF!</v>
      </c>
      <c r="C383" s="87"/>
    </row>
    <row r="384" spans="1:6" ht="14.25" customHeight="1" x14ac:dyDescent="0.2">
      <c r="A384" s="82"/>
      <c r="B384" s="83" t="e">
        <f t="shared" si="0"/>
        <v>#REF!</v>
      </c>
      <c r="C384" s="87"/>
    </row>
    <row r="385" spans="1:6" ht="14.25" customHeight="1" x14ac:dyDescent="0.2">
      <c r="A385" s="82"/>
      <c r="B385" s="83" t="e">
        <f t="shared" si="0"/>
        <v>#REF!</v>
      </c>
      <c r="C385" s="87"/>
    </row>
    <row r="386" spans="1:6" ht="14.25" customHeight="1" x14ac:dyDescent="0.2">
      <c r="A386" s="82"/>
      <c r="B386" s="83" t="e">
        <f t="shared" si="0"/>
        <v>#REF!</v>
      </c>
      <c r="C386" s="87"/>
    </row>
    <row r="387" spans="1:6" ht="14.25" customHeight="1" x14ac:dyDescent="0.2">
      <c r="A387" s="82"/>
      <c r="B387" s="83" t="e">
        <f t="shared" si="0"/>
        <v>#REF!</v>
      </c>
      <c r="C387" s="87"/>
    </row>
    <row r="388" spans="1:6" ht="14.25" customHeight="1" x14ac:dyDescent="0.2">
      <c r="A388" s="82"/>
      <c r="B388" s="83" t="e">
        <f t="shared" si="0"/>
        <v>#REF!</v>
      </c>
      <c r="C388" s="87"/>
    </row>
    <row r="389" spans="1:6" ht="14.25" customHeight="1" x14ac:dyDescent="0.2">
      <c r="A389" s="82"/>
      <c r="B389" s="83" t="e">
        <f t="shared" si="0"/>
        <v>#REF!</v>
      </c>
      <c r="C389" s="87"/>
    </row>
    <row r="390" spans="1:6" ht="14.25" customHeight="1" x14ac:dyDescent="0.2">
      <c r="A390" s="82"/>
      <c r="B390" s="83" t="e">
        <f t="shared" si="0"/>
        <v>#REF!</v>
      </c>
      <c r="C390" s="87"/>
    </row>
    <row r="391" spans="1:6" ht="14.25" customHeight="1" x14ac:dyDescent="0.2">
      <c r="A391" s="82"/>
      <c r="B391" s="83" t="e">
        <f t="shared" si="0"/>
        <v>#REF!</v>
      </c>
      <c r="C391" s="87"/>
    </row>
    <row r="392" spans="1:6" ht="14.25" customHeight="1" x14ac:dyDescent="0.2">
      <c r="A392" s="82"/>
      <c r="B392" s="83" t="e">
        <f t="shared" si="0"/>
        <v>#REF!</v>
      </c>
      <c r="C392" s="87"/>
    </row>
    <row r="393" spans="1:6" ht="14.25" customHeight="1" x14ac:dyDescent="0.2">
      <c r="A393" s="82"/>
      <c r="B393" s="83" t="e">
        <f t="shared" si="0"/>
        <v>#REF!</v>
      </c>
      <c r="C393" s="87"/>
    </row>
    <row r="394" spans="1:6" ht="14.25" customHeight="1" x14ac:dyDescent="0.2">
      <c r="A394" s="82"/>
      <c r="B394" s="83" t="e">
        <f t="shared" si="0"/>
        <v>#REF!</v>
      </c>
      <c r="C394" s="87"/>
    </row>
    <row r="395" spans="1:6" ht="14.25" customHeight="1" x14ac:dyDescent="0.2">
      <c r="A395" s="82"/>
      <c r="B395" s="83" t="e">
        <f t="shared" si="0"/>
        <v>#REF!</v>
      </c>
      <c r="C395" s="87"/>
    </row>
    <row r="396" spans="1:6" ht="14.25" customHeight="1" x14ac:dyDescent="0.2">
      <c r="A396" s="82"/>
      <c r="B396" s="83" t="e">
        <f t="shared" si="0"/>
        <v>#REF!</v>
      </c>
      <c r="C396" s="87"/>
    </row>
    <row r="397" spans="1:6" ht="14.25" customHeight="1" x14ac:dyDescent="0.2">
      <c r="A397" s="82"/>
      <c r="B397" s="83" t="e">
        <f t="shared" si="0"/>
        <v>#REF!</v>
      </c>
      <c r="C397" s="87"/>
      <c r="F397" s="86"/>
    </row>
    <row r="398" spans="1:6" ht="14.25" customHeight="1" x14ac:dyDescent="0.2">
      <c r="A398" s="82"/>
      <c r="B398" s="83" t="e">
        <f t="shared" si="0"/>
        <v>#REF!</v>
      </c>
      <c r="C398" s="87"/>
    </row>
    <row r="399" spans="1:6" ht="14.25" customHeight="1" x14ac:dyDescent="0.2">
      <c r="A399" s="82"/>
      <c r="B399" s="83" t="e">
        <f t="shared" si="0"/>
        <v>#REF!</v>
      </c>
      <c r="C399" s="87"/>
    </row>
    <row r="400" spans="1:6" ht="14.25" customHeight="1" x14ac:dyDescent="0.2">
      <c r="A400" s="82"/>
      <c r="B400" s="83" t="e">
        <f t="shared" si="0"/>
        <v>#REF!</v>
      </c>
      <c r="C400" s="87"/>
    </row>
    <row r="401" spans="1:3" ht="14.25" customHeight="1" x14ac:dyDescent="0.2">
      <c r="A401" s="82"/>
      <c r="B401" s="83" t="e">
        <f t="shared" si="0"/>
        <v>#REF!</v>
      </c>
      <c r="C401" s="87"/>
    </row>
    <row r="402" spans="1:3" ht="14.25" customHeight="1" x14ac:dyDescent="0.2">
      <c r="A402" s="82"/>
      <c r="B402" s="83" t="e">
        <f t="shared" si="0"/>
        <v>#REF!</v>
      </c>
      <c r="C402" s="87"/>
    </row>
    <row r="403" spans="1:3" ht="14.25" customHeight="1" x14ac:dyDescent="0.2">
      <c r="A403" s="82"/>
      <c r="B403" s="83" t="e">
        <f t="shared" si="0"/>
        <v>#REF!</v>
      </c>
      <c r="C403" s="87"/>
    </row>
    <row r="404" spans="1:3" ht="14.25" customHeight="1" x14ac:dyDescent="0.2">
      <c r="A404" s="82"/>
      <c r="B404" s="83" t="e">
        <f t="shared" si="0"/>
        <v>#REF!</v>
      </c>
      <c r="C404" s="87"/>
    </row>
    <row r="405" spans="1:3" ht="14.25" customHeight="1" x14ac:dyDescent="0.2">
      <c r="A405" s="82"/>
      <c r="B405" s="83" t="e">
        <f t="shared" si="0"/>
        <v>#REF!</v>
      </c>
      <c r="C405" s="87"/>
    </row>
    <row r="406" spans="1:3" ht="14.25" customHeight="1" x14ac:dyDescent="0.2">
      <c r="A406" s="82"/>
      <c r="B406" s="83" t="e">
        <f t="shared" si="0"/>
        <v>#REF!</v>
      </c>
      <c r="C406" s="87"/>
    </row>
    <row r="407" spans="1:3" ht="14.25" customHeight="1" x14ac:dyDescent="0.2">
      <c r="A407" s="82"/>
      <c r="B407" s="83" t="e">
        <f t="shared" si="0"/>
        <v>#REF!</v>
      </c>
      <c r="C407" s="87"/>
    </row>
    <row r="408" spans="1:3" ht="14.25" customHeight="1" x14ac:dyDescent="0.2">
      <c r="A408" s="82"/>
      <c r="B408" s="83" t="e">
        <f t="shared" si="0"/>
        <v>#REF!</v>
      </c>
      <c r="C408" s="87"/>
    </row>
    <row r="409" spans="1:3" ht="14.25" customHeight="1" x14ac:dyDescent="0.2">
      <c r="A409" s="82"/>
      <c r="B409" s="83" t="e">
        <f t="shared" si="0"/>
        <v>#REF!</v>
      </c>
      <c r="C409" s="87"/>
    </row>
    <row r="410" spans="1:3" ht="14.25" customHeight="1" x14ac:dyDescent="0.2">
      <c r="A410" s="82"/>
      <c r="B410" s="83" t="e">
        <f t="shared" si="0"/>
        <v>#REF!</v>
      </c>
      <c r="C410" s="87"/>
    </row>
    <row r="411" spans="1:3" ht="14.25" customHeight="1" x14ac:dyDescent="0.2">
      <c r="A411" s="82"/>
      <c r="B411" s="83" t="e">
        <f t="shared" si="0"/>
        <v>#REF!</v>
      </c>
      <c r="C411" s="87"/>
    </row>
    <row r="412" spans="1:3" ht="14.25" customHeight="1" x14ac:dyDescent="0.2">
      <c r="A412" s="82"/>
      <c r="B412" s="83" t="e">
        <f t="shared" si="0"/>
        <v>#REF!</v>
      </c>
      <c r="C412" s="87"/>
    </row>
    <row r="413" spans="1:3" ht="14.25" customHeight="1" x14ac:dyDescent="0.2">
      <c r="A413" s="82"/>
      <c r="B413" s="83" t="e">
        <f t="shared" si="0"/>
        <v>#REF!</v>
      </c>
      <c r="C413" s="87"/>
    </row>
    <row r="414" spans="1:3" ht="14.25" customHeight="1" x14ac:dyDescent="0.2">
      <c r="A414" s="82"/>
      <c r="B414" s="83" t="e">
        <f t="shared" si="0"/>
        <v>#REF!</v>
      </c>
      <c r="C414" s="87"/>
    </row>
    <row r="415" spans="1:3" ht="14.25" customHeight="1" x14ac:dyDescent="0.2">
      <c r="A415" s="82"/>
      <c r="B415" s="83" t="e">
        <f t="shared" si="0"/>
        <v>#REF!</v>
      </c>
      <c r="C415" s="87"/>
    </row>
    <row r="416" spans="1:3" ht="14.25" customHeight="1" x14ac:dyDescent="0.2">
      <c r="A416" s="82"/>
      <c r="B416" s="83" t="e">
        <f t="shared" si="0"/>
        <v>#REF!</v>
      </c>
      <c r="C416" s="87"/>
    </row>
    <row r="417" spans="1:3" ht="14.25" customHeight="1" x14ac:dyDescent="0.2">
      <c r="A417" s="82"/>
      <c r="B417" s="83" t="e">
        <f t="shared" si="0"/>
        <v>#REF!</v>
      </c>
      <c r="C417" s="87"/>
    </row>
    <row r="418" spans="1:3" ht="14.25" customHeight="1" x14ac:dyDescent="0.2">
      <c r="A418" s="82"/>
      <c r="B418" s="83" t="e">
        <f t="shared" si="0"/>
        <v>#REF!</v>
      </c>
      <c r="C418" s="87"/>
    </row>
    <row r="419" spans="1:3" ht="14.25" customHeight="1" x14ac:dyDescent="0.2">
      <c r="A419" s="82"/>
      <c r="B419" s="83" t="e">
        <f t="shared" si="0"/>
        <v>#REF!</v>
      </c>
      <c r="C419" s="87"/>
    </row>
    <row r="420" spans="1:3" ht="14.25" customHeight="1" x14ac:dyDescent="0.2">
      <c r="A420" s="82"/>
      <c r="B420" s="83" t="e">
        <f t="shared" si="0"/>
        <v>#REF!</v>
      </c>
      <c r="C420" s="87"/>
    </row>
    <row r="421" spans="1:3" ht="14.25" customHeight="1" x14ac:dyDescent="0.2">
      <c r="A421" s="82"/>
      <c r="B421" s="83" t="e">
        <f t="shared" si="0"/>
        <v>#REF!</v>
      </c>
      <c r="C421" s="87"/>
    </row>
    <row r="422" spans="1:3" ht="14.25" customHeight="1" x14ac:dyDescent="0.2">
      <c r="A422" s="82"/>
      <c r="B422" s="83" t="e">
        <f t="shared" si="0"/>
        <v>#REF!</v>
      </c>
      <c r="C422" s="87"/>
    </row>
    <row r="423" spans="1:3" ht="14.25" customHeight="1" x14ac:dyDescent="0.2">
      <c r="A423" s="82"/>
      <c r="B423" s="83" t="e">
        <f t="shared" si="0"/>
        <v>#REF!</v>
      </c>
      <c r="C423" s="87"/>
    </row>
    <row r="424" spans="1:3" ht="14.25" customHeight="1" x14ac:dyDescent="0.2">
      <c r="A424" s="82"/>
      <c r="B424" s="83" t="e">
        <f t="shared" si="0"/>
        <v>#REF!</v>
      </c>
      <c r="C424" s="87"/>
    </row>
    <row r="425" spans="1:3" ht="14.25" customHeight="1" x14ac:dyDescent="0.2">
      <c r="A425" s="82"/>
      <c r="B425" s="83" t="e">
        <f t="shared" si="0"/>
        <v>#REF!</v>
      </c>
      <c r="C425" s="87"/>
    </row>
    <row r="426" spans="1:3" ht="14.25" customHeight="1" x14ac:dyDescent="0.2">
      <c r="A426" s="82"/>
      <c r="B426" s="83" t="e">
        <f t="shared" si="0"/>
        <v>#REF!</v>
      </c>
      <c r="C426" s="87"/>
    </row>
    <row r="427" spans="1:3" ht="14.25" customHeight="1" x14ac:dyDescent="0.2">
      <c r="A427" s="82"/>
      <c r="B427" s="83" t="e">
        <f t="shared" si="0"/>
        <v>#REF!</v>
      </c>
      <c r="C427" s="87"/>
    </row>
    <row r="428" spans="1:3" ht="14.25" customHeight="1" x14ac:dyDescent="0.2">
      <c r="A428" s="82"/>
      <c r="B428" s="83" t="e">
        <f t="shared" si="0"/>
        <v>#REF!</v>
      </c>
      <c r="C428" s="87"/>
    </row>
    <row r="429" spans="1:3" ht="14.25" customHeight="1" x14ac:dyDescent="0.2">
      <c r="A429" s="82"/>
      <c r="B429" s="83" t="e">
        <f t="shared" si="0"/>
        <v>#REF!</v>
      </c>
      <c r="C429" s="87"/>
    </row>
    <row r="430" spans="1:3" ht="14.25" customHeight="1" x14ac:dyDescent="0.2">
      <c r="A430" s="82"/>
      <c r="B430" s="83" t="e">
        <f t="shared" si="0"/>
        <v>#REF!</v>
      </c>
      <c r="C430" s="87"/>
    </row>
    <row r="431" spans="1:3" ht="14.25" customHeight="1" x14ac:dyDescent="0.2">
      <c r="A431" s="82"/>
      <c r="B431" s="83" t="e">
        <f t="shared" si="0"/>
        <v>#REF!</v>
      </c>
      <c r="C431" s="87"/>
    </row>
    <row r="432" spans="1:3" ht="14.25" customHeight="1" x14ac:dyDescent="0.2">
      <c r="A432" s="82"/>
      <c r="B432" s="83" t="e">
        <f t="shared" si="0"/>
        <v>#REF!</v>
      </c>
      <c r="C432" s="87"/>
    </row>
    <row r="433" spans="1:3" ht="14.25" customHeight="1" x14ac:dyDescent="0.2">
      <c r="A433" s="82"/>
      <c r="B433" s="83" t="e">
        <f t="shared" si="0"/>
        <v>#REF!</v>
      </c>
      <c r="C433" s="87"/>
    </row>
    <row r="434" spans="1:3" ht="14.25" customHeight="1" x14ac:dyDescent="0.2">
      <c r="A434" s="82"/>
      <c r="B434" s="83" t="e">
        <f t="shared" si="0"/>
        <v>#REF!</v>
      </c>
      <c r="C434" s="87"/>
    </row>
    <row r="435" spans="1:3" ht="14.25" customHeight="1" x14ac:dyDescent="0.2">
      <c r="A435" s="82"/>
      <c r="B435" s="83" t="e">
        <f t="shared" si="0"/>
        <v>#REF!</v>
      </c>
      <c r="C435" s="87"/>
    </row>
    <row r="436" spans="1:3" ht="14.25" customHeight="1" x14ac:dyDescent="0.2">
      <c r="A436" s="82"/>
      <c r="B436" s="83" t="e">
        <f t="shared" si="0"/>
        <v>#REF!</v>
      </c>
      <c r="C436" s="87"/>
    </row>
    <row r="437" spans="1:3" ht="14.25" customHeight="1" x14ac:dyDescent="0.2">
      <c r="A437" s="82"/>
      <c r="B437" s="83" t="e">
        <f t="shared" si="0"/>
        <v>#REF!</v>
      </c>
      <c r="C437" s="87"/>
    </row>
    <row r="438" spans="1:3" ht="14.25" customHeight="1" x14ac:dyDescent="0.2">
      <c r="A438" s="82"/>
      <c r="B438" s="83" t="e">
        <f t="shared" si="0"/>
        <v>#REF!</v>
      </c>
      <c r="C438" s="87"/>
    </row>
    <row r="439" spans="1:3" ht="14.25" customHeight="1" x14ac:dyDescent="0.2">
      <c r="A439" s="82"/>
      <c r="B439" s="83" t="e">
        <f t="shared" si="0"/>
        <v>#REF!</v>
      </c>
      <c r="C439" s="87"/>
    </row>
    <row r="440" spans="1:3" ht="14.25" customHeight="1" x14ac:dyDescent="0.2">
      <c r="A440" s="82"/>
      <c r="B440" s="83" t="e">
        <f t="shared" si="0"/>
        <v>#REF!</v>
      </c>
      <c r="C440" s="87"/>
    </row>
    <row r="441" spans="1:3" ht="14.25" customHeight="1" x14ac:dyDescent="0.2">
      <c r="A441" s="82"/>
      <c r="B441" s="83" t="e">
        <f t="shared" si="0"/>
        <v>#REF!</v>
      </c>
      <c r="C441" s="87"/>
    </row>
    <row r="442" spans="1:3" ht="14.25" customHeight="1" x14ac:dyDescent="0.2">
      <c r="A442" s="82"/>
      <c r="B442" s="83" t="e">
        <f t="shared" si="0"/>
        <v>#REF!</v>
      </c>
      <c r="C442" s="87"/>
    </row>
    <row r="443" spans="1:3" ht="14.25" customHeight="1" x14ac:dyDescent="0.2">
      <c r="A443" s="82"/>
      <c r="B443" s="83" t="e">
        <f t="shared" si="0"/>
        <v>#REF!</v>
      </c>
      <c r="C443" s="87"/>
    </row>
    <row r="444" spans="1:3" ht="14.25" customHeight="1" x14ac:dyDescent="0.2">
      <c r="A444" s="82"/>
      <c r="B444" s="83" t="e">
        <f t="shared" si="0"/>
        <v>#REF!</v>
      </c>
      <c r="C444" s="87"/>
    </row>
    <row r="445" spans="1:3" ht="14.25" customHeight="1" x14ac:dyDescent="0.2">
      <c r="A445" s="82"/>
      <c r="B445" s="83" t="e">
        <f t="shared" si="0"/>
        <v>#REF!</v>
      </c>
      <c r="C445" s="87"/>
    </row>
    <row r="446" spans="1:3" ht="14.25" customHeight="1" x14ac:dyDescent="0.2">
      <c r="A446" s="82"/>
      <c r="B446" s="83" t="e">
        <f t="shared" si="0"/>
        <v>#REF!</v>
      </c>
      <c r="C446" s="87"/>
    </row>
    <row r="447" spans="1:3" ht="14.25" customHeight="1" x14ac:dyDescent="0.2">
      <c r="A447" s="82"/>
      <c r="B447" s="83" t="e">
        <f t="shared" si="0"/>
        <v>#REF!</v>
      </c>
      <c r="C447" s="87"/>
    </row>
    <row r="448" spans="1:3" ht="14.25" customHeight="1" x14ac:dyDescent="0.2">
      <c r="A448" s="82"/>
      <c r="B448" s="83" t="e">
        <f t="shared" si="0"/>
        <v>#REF!</v>
      </c>
      <c r="C448" s="87"/>
    </row>
    <row r="449" spans="1:3" ht="14.25" customHeight="1" x14ac:dyDescent="0.2">
      <c r="A449" s="82"/>
      <c r="B449" s="83" t="e">
        <f t="shared" si="0"/>
        <v>#REF!</v>
      </c>
      <c r="C449" s="87"/>
    </row>
    <row r="450" spans="1:3" ht="14.25" customHeight="1" x14ac:dyDescent="0.2">
      <c r="A450" s="82"/>
      <c r="B450" s="83" t="e">
        <f t="shared" si="0"/>
        <v>#REF!</v>
      </c>
      <c r="C450" s="87"/>
    </row>
    <row r="451" spans="1:3" ht="14.25" customHeight="1" x14ac:dyDescent="0.2">
      <c r="A451" s="82"/>
      <c r="B451" s="83" t="e">
        <f t="shared" si="0"/>
        <v>#REF!</v>
      </c>
      <c r="C451" s="87"/>
    </row>
    <row r="452" spans="1:3" ht="14.25" customHeight="1" x14ac:dyDescent="0.2">
      <c r="A452" s="82"/>
      <c r="B452" s="83" t="e">
        <f t="shared" si="0"/>
        <v>#REF!</v>
      </c>
      <c r="C452" s="87"/>
    </row>
    <row r="453" spans="1:3" ht="14.25" customHeight="1" x14ac:dyDescent="0.2">
      <c r="A453" s="82"/>
      <c r="B453" s="83" t="e">
        <f t="shared" si="0"/>
        <v>#REF!</v>
      </c>
      <c r="C453" s="87"/>
    </row>
    <row r="454" spans="1:3" ht="14.25" customHeight="1" x14ac:dyDescent="0.2">
      <c r="A454" s="82"/>
      <c r="B454" s="83" t="e">
        <f t="shared" si="0"/>
        <v>#REF!</v>
      </c>
      <c r="C454" s="87"/>
    </row>
    <row r="455" spans="1:3" ht="14.25" customHeight="1" x14ac:dyDescent="0.2">
      <c r="A455" s="82"/>
      <c r="B455" s="83" t="e">
        <f t="shared" si="0"/>
        <v>#REF!</v>
      </c>
      <c r="C455" s="87"/>
    </row>
    <row r="456" spans="1:3" ht="14.25" customHeight="1" x14ac:dyDescent="0.2">
      <c r="A456" s="82"/>
      <c r="B456" s="83" t="e">
        <f t="shared" si="0"/>
        <v>#REF!</v>
      </c>
      <c r="C456" s="87"/>
    </row>
    <row r="457" spans="1:3" ht="14.25" customHeight="1" x14ac:dyDescent="0.2">
      <c r="A457" s="82"/>
      <c r="B457" s="83" t="e">
        <f t="shared" si="0"/>
        <v>#REF!</v>
      </c>
      <c r="C457" s="87"/>
    </row>
    <row r="458" spans="1:3" ht="14.25" customHeight="1" x14ac:dyDescent="0.2">
      <c r="A458" s="82"/>
      <c r="B458" s="83" t="e">
        <f t="shared" si="0"/>
        <v>#REF!</v>
      </c>
      <c r="C458" s="87"/>
    </row>
    <row r="459" spans="1:3" ht="14.25" customHeight="1" x14ac:dyDescent="0.2">
      <c r="A459" s="82"/>
      <c r="B459" s="83" t="e">
        <f t="shared" si="0"/>
        <v>#REF!</v>
      </c>
      <c r="C459" s="87"/>
    </row>
    <row r="460" spans="1:3" ht="14.25" customHeight="1" x14ac:dyDescent="0.2">
      <c r="A460" s="82"/>
      <c r="B460" s="83" t="e">
        <f t="shared" si="0"/>
        <v>#REF!</v>
      </c>
      <c r="C460" s="87"/>
    </row>
    <row r="461" spans="1:3" ht="14.25" customHeight="1" x14ac:dyDescent="0.2">
      <c r="A461" s="82"/>
      <c r="B461" s="83" t="e">
        <f t="shared" si="0"/>
        <v>#REF!</v>
      </c>
      <c r="C461" s="87"/>
    </row>
    <row r="462" spans="1:3" ht="14.25" customHeight="1" x14ac:dyDescent="0.2">
      <c r="A462" s="82"/>
      <c r="B462" s="83" t="e">
        <f t="shared" si="0"/>
        <v>#REF!</v>
      </c>
      <c r="C462" s="87"/>
    </row>
    <row r="463" spans="1:3" ht="14.25" customHeight="1" x14ac:dyDescent="0.2">
      <c r="A463" s="82"/>
      <c r="B463" s="83" t="e">
        <f t="shared" si="0"/>
        <v>#REF!</v>
      </c>
      <c r="C463" s="87"/>
    </row>
    <row r="464" spans="1:3" ht="14.25" customHeight="1" x14ac:dyDescent="0.2">
      <c r="A464" s="82"/>
      <c r="B464" s="83" t="e">
        <f t="shared" si="0"/>
        <v>#REF!</v>
      </c>
      <c r="C464" s="87"/>
    </row>
    <row r="465" spans="1:3" ht="14.25" customHeight="1" x14ac:dyDescent="0.2">
      <c r="A465" s="82"/>
      <c r="B465" s="83" t="e">
        <f t="shared" si="0"/>
        <v>#REF!</v>
      </c>
      <c r="C465" s="87"/>
    </row>
    <row r="466" spans="1:3" ht="14.25" customHeight="1" x14ac:dyDescent="0.2">
      <c r="A466" s="82"/>
      <c r="B466" s="83" t="e">
        <f t="shared" si="0"/>
        <v>#REF!</v>
      </c>
      <c r="C466" s="87"/>
    </row>
    <row r="467" spans="1:3" ht="14.25" customHeight="1" x14ac:dyDescent="0.2">
      <c r="A467" s="82"/>
      <c r="B467" s="83" t="e">
        <f t="shared" si="0"/>
        <v>#REF!</v>
      </c>
      <c r="C467" s="87"/>
    </row>
    <row r="468" spans="1:3" ht="14.25" customHeight="1" x14ac:dyDescent="0.2">
      <c r="A468" s="82"/>
      <c r="B468" s="83" t="e">
        <f t="shared" si="0"/>
        <v>#REF!</v>
      </c>
      <c r="C468" s="87"/>
    </row>
    <row r="469" spans="1:3" ht="14.25" customHeight="1" x14ac:dyDescent="0.2">
      <c r="A469" s="82"/>
      <c r="B469" s="83" t="e">
        <f t="shared" si="0"/>
        <v>#REF!</v>
      </c>
      <c r="C469" s="87"/>
    </row>
    <row r="470" spans="1:3" ht="14.25" customHeight="1" x14ac:dyDescent="0.2">
      <c r="A470" s="82"/>
      <c r="B470" s="83" t="e">
        <f t="shared" si="0"/>
        <v>#REF!</v>
      </c>
      <c r="C470" s="87"/>
    </row>
    <row r="471" spans="1:3" ht="14.25" customHeight="1" x14ac:dyDescent="0.2">
      <c r="A471" s="82"/>
      <c r="B471" s="83" t="e">
        <f t="shared" si="0"/>
        <v>#REF!</v>
      </c>
      <c r="C471" s="87"/>
    </row>
    <row r="472" spans="1:3" ht="14.25" customHeight="1" x14ac:dyDescent="0.2">
      <c r="A472" s="82"/>
      <c r="B472" s="83" t="e">
        <f t="shared" si="0"/>
        <v>#REF!</v>
      </c>
      <c r="C472" s="87"/>
    </row>
    <row r="473" spans="1:3" ht="14.25" customHeight="1" x14ac:dyDescent="0.2">
      <c r="A473" s="82"/>
      <c r="B473" s="83" t="e">
        <f t="shared" si="0"/>
        <v>#REF!</v>
      </c>
      <c r="C473" s="87"/>
    </row>
    <row r="474" spans="1:3" ht="14.25" customHeight="1" x14ac:dyDescent="0.2">
      <c r="A474" s="82"/>
      <c r="B474" s="83" t="e">
        <f t="shared" si="0"/>
        <v>#REF!</v>
      </c>
      <c r="C474" s="87"/>
    </row>
    <row r="475" spans="1:3" ht="14.25" customHeight="1" x14ac:dyDescent="0.2">
      <c r="A475" s="82"/>
      <c r="B475" s="83" t="e">
        <f t="shared" si="0"/>
        <v>#REF!</v>
      </c>
      <c r="C475" s="87"/>
    </row>
    <row r="476" spans="1:3" ht="14.25" customHeight="1" x14ac:dyDescent="0.2">
      <c r="A476" s="82"/>
      <c r="B476" s="83" t="e">
        <f t="shared" si="0"/>
        <v>#REF!</v>
      </c>
      <c r="C476" s="87"/>
    </row>
    <row r="477" spans="1:3" ht="14.25" customHeight="1" x14ac:dyDescent="0.2">
      <c r="A477" s="82"/>
      <c r="B477" s="83" t="e">
        <f t="shared" si="0"/>
        <v>#REF!</v>
      </c>
      <c r="C477" s="87"/>
    </row>
    <row r="478" spans="1:3" ht="14.25" customHeight="1" x14ac:dyDescent="0.2">
      <c r="A478" s="82"/>
      <c r="B478" s="83" t="e">
        <f t="shared" si="0"/>
        <v>#REF!</v>
      </c>
      <c r="C478" s="87"/>
    </row>
    <row r="479" spans="1:3" ht="14.25" customHeight="1" x14ac:dyDescent="0.2">
      <c r="A479" s="82"/>
      <c r="B479" s="83" t="e">
        <f t="shared" si="0"/>
        <v>#REF!</v>
      </c>
      <c r="C479" s="87"/>
    </row>
    <row r="480" spans="1:3" ht="14.25" customHeight="1" x14ac:dyDescent="0.2">
      <c r="A480" s="82"/>
      <c r="B480" s="83" t="e">
        <f t="shared" si="0"/>
        <v>#REF!</v>
      </c>
      <c r="C480" s="87"/>
    </row>
    <row r="481" spans="1:3" ht="14.25" customHeight="1" x14ac:dyDescent="0.2">
      <c r="A481" s="82"/>
      <c r="B481" s="83" t="e">
        <f t="shared" si="0"/>
        <v>#REF!</v>
      </c>
      <c r="C481" s="87"/>
    </row>
    <row r="482" spans="1:3" ht="14.25" customHeight="1" x14ac:dyDescent="0.2">
      <c r="A482" s="82"/>
      <c r="B482" s="83" t="e">
        <f t="shared" si="0"/>
        <v>#REF!</v>
      </c>
      <c r="C482" s="87"/>
    </row>
    <row r="483" spans="1:3" ht="14.25" customHeight="1" x14ac:dyDescent="0.2">
      <c r="A483" s="82"/>
      <c r="B483" s="83" t="e">
        <f t="shared" si="0"/>
        <v>#REF!</v>
      </c>
      <c r="C483" s="87"/>
    </row>
    <row r="484" spans="1:3" ht="14.25" customHeight="1" x14ac:dyDescent="0.2">
      <c r="A484" s="82"/>
      <c r="B484" s="83" t="e">
        <f t="shared" si="0"/>
        <v>#REF!</v>
      </c>
      <c r="C484" s="87"/>
    </row>
    <row r="485" spans="1:3" ht="14.25" customHeight="1" x14ac:dyDescent="0.2">
      <c r="A485" s="82"/>
      <c r="B485" s="83" t="e">
        <f t="shared" si="0"/>
        <v>#REF!</v>
      </c>
      <c r="C485" s="87"/>
    </row>
    <row r="486" spans="1:3" ht="14.25" customHeight="1" x14ac:dyDescent="0.2">
      <c r="A486" s="82"/>
      <c r="B486" s="83" t="e">
        <f t="shared" si="0"/>
        <v>#REF!</v>
      </c>
      <c r="C486" s="87"/>
    </row>
    <row r="487" spans="1:3" ht="14.25" customHeight="1" x14ac:dyDescent="0.2">
      <c r="A487" s="82"/>
      <c r="B487" s="83" t="e">
        <f t="shared" si="0"/>
        <v>#REF!</v>
      </c>
      <c r="C487" s="87"/>
    </row>
    <row r="488" spans="1:3" ht="14.25" customHeight="1" x14ac:dyDescent="0.2">
      <c r="A488" s="82"/>
      <c r="B488" s="83" t="e">
        <f t="shared" si="0"/>
        <v>#REF!</v>
      </c>
      <c r="C488" s="87"/>
    </row>
    <row r="489" spans="1:3" ht="14.25" customHeight="1" x14ac:dyDescent="0.2">
      <c r="A489" s="82"/>
      <c r="B489" s="83" t="e">
        <f t="shared" si="0"/>
        <v>#REF!</v>
      </c>
      <c r="C489" s="87"/>
    </row>
    <row r="490" spans="1:3" ht="14.25" customHeight="1" x14ac:dyDescent="0.2">
      <c r="A490" s="82"/>
      <c r="B490" s="83" t="e">
        <f t="shared" si="0"/>
        <v>#REF!</v>
      </c>
      <c r="C490" s="87"/>
    </row>
    <row r="491" spans="1:3" ht="14.25" customHeight="1" x14ac:dyDescent="0.2">
      <c r="A491" s="82"/>
      <c r="B491" s="83" t="e">
        <f t="shared" si="0"/>
        <v>#REF!</v>
      </c>
      <c r="C491" s="87"/>
    </row>
    <row r="492" spans="1:3" ht="14.25" customHeight="1" x14ac:dyDescent="0.2">
      <c r="A492" s="82"/>
      <c r="B492" s="83" t="e">
        <f t="shared" ref="B492:B746" si="1">IF(#REF!="credit",#REF!, (#REF!* -1))</f>
        <v>#REF!</v>
      </c>
      <c r="C492" s="87"/>
    </row>
    <row r="493" spans="1:3" ht="14.25" customHeight="1" x14ac:dyDescent="0.2">
      <c r="A493" s="82"/>
      <c r="B493" s="83" t="e">
        <f t="shared" si="1"/>
        <v>#REF!</v>
      </c>
      <c r="C493" s="87"/>
    </row>
    <row r="494" spans="1:3" ht="14.25" customHeight="1" x14ac:dyDescent="0.2">
      <c r="A494" s="82"/>
      <c r="B494" s="83" t="e">
        <f t="shared" si="1"/>
        <v>#REF!</v>
      </c>
      <c r="C494" s="87"/>
    </row>
    <row r="495" spans="1:3" ht="14.25" customHeight="1" x14ac:dyDescent="0.2">
      <c r="A495" s="82"/>
      <c r="B495" s="83" t="e">
        <f t="shared" si="1"/>
        <v>#REF!</v>
      </c>
      <c r="C495" s="87"/>
    </row>
    <row r="496" spans="1:3" ht="14.25" customHeight="1" x14ac:dyDescent="0.2">
      <c r="A496" s="82"/>
      <c r="B496" s="83" t="e">
        <f t="shared" si="1"/>
        <v>#REF!</v>
      </c>
      <c r="C496" s="87"/>
    </row>
    <row r="497" spans="1:3" ht="14.25" customHeight="1" x14ac:dyDescent="0.2">
      <c r="A497" s="82"/>
      <c r="B497" s="83" t="e">
        <f t="shared" si="1"/>
        <v>#REF!</v>
      </c>
      <c r="C497" s="87"/>
    </row>
    <row r="498" spans="1:3" ht="14.25" customHeight="1" x14ac:dyDescent="0.2">
      <c r="A498" s="82"/>
      <c r="B498" s="83" t="e">
        <f t="shared" si="1"/>
        <v>#REF!</v>
      </c>
      <c r="C498" s="87"/>
    </row>
    <row r="499" spans="1:3" ht="14.25" customHeight="1" x14ac:dyDescent="0.2">
      <c r="A499" s="82"/>
      <c r="B499" s="83" t="e">
        <f t="shared" si="1"/>
        <v>#REF!</v>
      </c>
      <c r="C499" s="87"/>
    </row>
    <row r="500" spans="1:3" ht="14.25" customHeight="1" x14ac:dyDescent="0.2">
      <c r="A500" s="82"/>
      <c r="B500" s="83" t="e">
        <f t="shared" si="1"/>
        <v>#REF!</v>
      </c>
      <c r="C500" s="87"/>
    </row>
    <row r="501" spans="1:3" ht="14.25" customHeight="1" x14ac:dyDescent="0.2">
      <c r="A501" s="82"/>
      <c r="B501" s="83" t="e">
        <f t="shared" si="1"/>
        <v>#REF!</v>
      </c>
      <c r="C501" s="87"/>
    </row>
    <row r="502" spans="1:3" ht="14.25" customHeight="1" x14ac:dyDescent="0.2">
      <c r="A502" s="82"/>
      <c r="B502" s="83" t="e">
        <f t="shared" si="1"/>
        <v>#REF!</v>
      </c>
      <c r="C502" s="87"/>
    </row>
    <row r="503" spans="1:3" ht="14.25" customHeight="1" x14ac:dyDescent="0.2">
      <c r="A503" s="82"/>
      <c r="B503" s="83" t="e">
        <f t="shared" si="1"/>
        <v>#REF!</v>
      </c>
      <c r="C503" s="87"/>
    </row>
    <row r="504" spans="1:3" ht="14.25" customHeight="1" x14ac:dyDescent="0.2">
      <c r="A504" s="82"/>
      <c r="B504" s="83" t="e">
        <f t="shared" si="1"/>
        <v>#REF!</v>
      </c>
      <c r="C504" s="87"/>
    </row>
    <row r="505" spans="1:3" ht="14.25" customHeight="1" x14ac:dyDescent="0.2">
      <c r="A505" s="82"/>
      <c r="B505" s="83" t="e">
        <f t="shared" si="1"/>
        <v>#REF!</v>
      </c>
      <c r="C505" s="87"/>
    </row>
    <row r="506" spans="1:3" ht="14.25" customHeight="1" x14ac:dyDescent="0.2">
      <c r="A506" s="82"/>
      <c r="B506" s="83" t="e">
        <f t="shared" si="1"/>
        <v>#REF!</v>
      </c>
      <c r="C506" s="87"/>
    </row>
    <row r="507" spans="1:3" ht="14.25" customHeight="1" x14ac:dyDescent="0.2">
      <c r="A507" s="82"/>
      <c r="B507" s="83" t="e">
        <f t="shared" si="1"/>
        <v>#REF!</v>
      </c>
      <c r="C507" s="87"/>
    </row>
    <row r="508" spans="1:3" ht="14.25" customHeight="1" x14ac:dyDescent="0.2">
      <c r="A508" s="82"/>
      <c r="B508" s="83" t="e">
        <f t="shared" si="1"/>
        <v>#REF!</v>
      </c>
      <c r="C508" s="87"/>
    </row>
    <row r="509" spans="1:3" ht="14.25" customHeight="1" x14ac:dyDescent="0.2">
      <c r="A509" s="82"/>
      <c r="B509" s="83" t="e">
        <f t="shared" si="1"/>
        <v>#REF!</v>
      </c>
      <c r="C509" s="87"/>
    </row>
    <row r="510" spans="1:3" ht="14.25" customHeight="1" x14ac:dyDescent="0.2">
      <c r="A510" s="82"/>
      <c r="B510" s="83" t="e">
        <f t="shared" si="1"/>
        <v>#REF!</v>
      </c>
      <c r="C510" s="87"/>
    </row>
    <row r="511" spans="1:3" ht="14.25" customHeight="1" x14ac:dyDescent="0.2">
      <c r="A511" s="82"/>
      <c r="B511" s="83" t="e">
        <f t="shared" si="1"/>
        <v>#REF!</v>
      </c>
      <c r="C511" s="87"/>
    </row>
    <row r="512" spans="1:3" ht="14.25" customHeight="1" x14ac:dyDescent="0.2">
      <c r="A512" s="82"/>
      <c r="B512" s="83" t="e">
        <f t="shared" si="1"/>
        <v>#REF!</v>
      </c>
      <c r="C512" s="87"/>
    </row>
    <row r="513" spans="1:3" ht="14.25" customHeight="1" x14ac:dyDescent="0.2">
      <c r="A513" s="82"/>
      <c r="B513" s="83" t="e">
        <f t="shared" si="1"/>
        <v>#REF!</v>
      </c>
      <c r="C513" s="87"/>
    </row>
    <row r="514" spans="1:3" ht="14.25" customHeight="1" x14ac:dyDescent="0.2">
      <c r="A514" s="82"/>
      <c r="B514" s="83" t="e">
        <f t="shared" si="1"/>
        <v>#REF!</v>
      </c>
      <c r="C514" s="87"/>
    </row>
    <row r="515" spans="1:3" ht="14.25" customHeight="1" x14ac:dyDescent="0.2">
      <c r="A515" s="82"/>
      <c r="B515" s="83" t="e">
        <f t="shared" si="1"/>
        <v>#REF!</v>
      </c>
      <c r="C515" s="87"/>
    </row>
    <row r="516" spans="1:3" ht="14.25" customHeight="1" x14ac:dyDescent="0.2">
      <c r="A516" s="82"/>
      <c r="B516" s="83" t="e">
        <f t="shared" si="1"/>
        <v>#REF!</v>
      </c>
      <c r="C516" s="87"/>
    </row>
    <row r="517" spans="1:3" ht="14.25" customHeight="1" x14ac:dyDescent="0.2">
      <c r="A517" s="82"/>
      <c r="B517" s="83" t="e">
        <f t="shared" si="1"/>
        <v>#REF!</v>
      </c>
      <c r="C517" s="87"/>
    </row>
    <row r="518" spans="1:3" ht="14.25" customHeight="1" x14ac:dyDescent="0.2">
      <c r="A518" s="82"/>
      <c r="B518" s="83" t="e">
        <f t="shared" si="1"/>
        <v>#REF!</v>
      </c>
      <c r="C518" s="87"/>
    </row>
    <row r="519" spans="1:3" ht="14.25" customHeight="1" x14ac:dyDescent="0.2">
      <c r="A519" s="82"/>
      <c r="B519" s="83" t="e">
        <f t="shared" si="1"/>
        <v>#REF!</v>
      </c>
      <c r="C519" s="87"/>
    </row>
    <row r="520" spans="1:3" ht="14.25" customHeight="1" x14ac:dyDescent="0.2">
      <c r="A520" s="82"/>
      <c r="B520" s="83" t="e">
        <f t="shared" si="1"/>
        <v>#REF!</v>
      </c>
      <c r="C520" s="87"/>
    </row>
    <row r="521" spans="1:3" ht="14.25" customHeight="1" x14ac:dyDescent="0.2">
      <c r="A521" s="82"/>
      <c r="B521" s="83" t="e">
        <f t="shared" si="1"/>
        <v>#REF!</v>
      </c>
      <c r="C521" s="87"/>
    </row>
    <row r="522" spans="1:3" ht="14.25" customHeight="1" x14ac:dyDescent="0.2">
      <c r="A522" s="82"/>
      <c r="B522" s="83" t="e">
        <f t="shared" si="1"/>
        <v>#REF!</v>
      </c>
      <c r="C522" s="87"/>
    </row>
    <row r="523" spans="1:3" ht="14.25" customHeight="1" x14ac:dyDescent="0.2">
      <c r="A523" s="82"/>
      <c r="B523" s="83" t="e">
        <f t="shared" si="1"/>
        <v>#REF!</v>
      </c>
      <c r="C523" s="87"/>
    </row>
    <row r="524" spans="1:3" ht="14.25" customHeight="1" x14ac:dyDescent="0.2">
      <c r="A524" s="82"/>
      <c r="B524" s="83" t="e">
        <f t="shared" si="1"/>
        <v>#REF!</v>
      </c>
      <c r="C524" s="87"/>
    </row>
    <row r="525" spans="1:3" ht="14.25" customHeight="1" x14ac:dyDescent="0.2">
      <c r="A525" s="82"/>
      <c r="B525" s="83" t="e">
        <f t="shared" si="1"/>
        <v>#REF!</v>
      </c>
      <c r="C525" s="87"/>
    </row>
    <row r="526" spans="1:3" ht="14.25" customHeight="1" x14ac:dyDescent="0.2">
      <c r="A526" s="82"/>
      <c r="B526" s="83" t="e">
        <f t="shared" si="1"/>
        <v>#REF!</v>
      </c>
      <c r="C526" s="87"/>
    </row>
    <row r="527" spans="1:3" ht="14.25" customHeight="1" x14ac:dyDescent="0.2">
      <c r="A527" s="82"/>
      <c r="B527" s="83" t="e">
        <f t="shared" si="1"/>
        <v>#REF!</v>
      </c>
      <c r="C527" s="87"/>
    </row>
    <row r="528" spans="1:3" ht="14.25" customHeight="1" x14ac:dyDescent="0.2">
      <c r="A528" s="82"/>
      <c r="B528" s="83" t="e">
        <f t="shared" si="1"/>
        <v>#REF!</v>
      </c>
      <c r="C528" s="87"/>
    </row>
    <row r="529" spans="1:3" ht="14.25" customHeight="1" x14ac:dyDescent="0.2">
      <c r="A529" s="82"/>
      <c r="B529" s="83" t="e">
        <f t="shared" si="1"/>
        <v>#REF!</v>
      </c>
      <c r="C529" s="87"/>
    </row>
    <row r="530" spans="1:3" ht="14.25" customHeight="1" x14ac:dyDescent="0.2">
      <c r="A530" s="82"/>
      <c r="B530" s="83" t="e">
        <f t="shared" si="1"/>
        <v>#REF!</v>
      </c>
      <c r="C530" s="87"/>
    </row>
    <row r="531" spans="1:3" ht="14.25" customHeight="1" x14ac:dyDescent="0.2">
      <c r="A531" s="82"/>
      <c r="B531" s="83" t="e">
        <f t="shared" si="1"/>
        <v>#REF!</v>
      </c>
      <c r="C531" s="87"/>
    </row>
    <row r="532" spans="1:3" ht="14.25" customHeight="1" x14ac:dyDescent="0.2">
      <c r="A532" s="82"/>
      <c r="B532" s="83" t="e">
        <f t="shared" si="1"/>
        <v>#REF!</v>
      </c>
      <c r="C532" s="87"/>
    </row>
    <row r="533" spans="1:3" ht="14.25" customHeight="1" x14ac:dyDescent="0.2">
      <c r="A533" s="82"/>
      <c r="B533" s="83" t="e">
        <f t="shared" si="1"/>
        <v>#REF!</v>
      </c>
      <c r="C533" s="87"/>
    </row>
    <row r="534" spans="1:3" ht="14.25" customHeight="1" x14ac:dyDescent="0.2">
      <c r="A534" s="82"/>
      <c r="B534" s="83" t="e">
        <f t="shared" si="1"/>
        <v>#REF!</v>
      </c>
      <c r="C534" s="87"/>
    </row>
    <row r="535" spans="1:3" ht="14.25" customHeight="1" x14ac:dyDescent="0.2">
      <c r="A535" s="82"/>
      <c r="B535" s="83" t="e">
        <f t="shared" si="1"/>
        <v>#REF!</v>
      </c>
      <c r="C535" s="87"/>
    </row>
    <row r="536" spans="1:3" ht="14.25" customHeight="1" x14ac:dyDescent="0.2">
      <c r="A536" s="82"/>
      <c r="B536" s="83" t="e">
        <f t="shared" si="1"/>
        <v>#REF!</v>
      </c>
      <c r="C536" s="87"/>
    </row>
    <row r="537" spans="1:3" ht="14.25" customHeight="1" x14ac:dyDescent="0.2">
      <c r="A537" s="82"/>
      <c r="B537" s="83" t="e">
        <f t="shared" si="1"/>
        <v>#REF!</v>
      </c>
      <c r="C537" s="87"/>
    </row>
    <row r="538" spans="1:3" ht="14.25" customHeight="1" x14ac:dyDescent="0.2">
      <c r="A538" s="82"/>
      <c r="B538" s="83" t="e">
        <f t="shared" si="1"/>
        <v>#REF!</v>
      </c>
      <c r="C538" s="87"/>
    </row>
    <row r="539" spans="1:3" ht="14.25" customHeight="1" x14ac:dyDescent="0.2">
      <c r="A539" s="82"/>
      <c r="B539" s="83" t="e">
        <f t="shared" si="1"/>
        <v>#REF!</v>
      </c>
      <c r="C539" s="87"/>
    </row>
    <row r="540" spans="1:3" ht="14.25" customHeight="1" x14ac:dyDescent="0.2">
      <c r="A540" s="82"/>
      <c r="B540" s="83" t="e">
        <f t="shared" si="1"/>
        <v>#REF!</v>
      </c>
      <c r="C540" s="87"/>
    </row>
    <row r="541" spans="1:3" ht="14.25" customHeight="1" x14ac:dyDescent="0.2">
      <c r="A541" s="82"/>
      <c r="B541" s="83" t="e">
        <f t="shared" si="1"/>
        <v>#REF!</v>
      </c>
      <c r="C541" s="87"/>
    </row>
    <row r="542" spans="1:3" ht="14.25" customHeight="1" x14ac:dyDescent="0.2">
      <c r="A542" s="82"/>
      <c r="B542" s="83" t="e">
        <f t="shared" si="1"/>
        <v>#REF!</v>
      </c>
      <c r="C542" s="87"/>
    </row>
    <row r="543" spans="1:3" ht="14.25" customHeight="1" x14ac:dyDescent="0.2">
      <c r="A543" s="82"/>
      <c r="B543" s="83" t="e">
        <f t="shared" si="1"/>
        <v>#REF!</v>
      </c>
      <c r="C543" s="87"/>
    </row>
    <row r="544" spans="1:3" ht="14.25" customHeight="1" x14ac:dyDescent="0.2">
      <c r="A544" s="82"/>
      <c r="B544" s="83" t="e">
        <f t="shared" si="1"/>
        <v>#REF!</v>
      </c>
      <c r="C544" s="87"/>
    </row>
    <row r="545" spans="1:3" ht="14.25" customHeight="1" x14ac:dyDescent="0.2">
      <c r="A545" s="82"/>
      <c r="B545" s="83" t="e">
        <f t="shared" si="1"/>
        <v>#REF!</v>
      </c>
      <c r="C545" s="87"/>
    </row>
    <row r="546" spans="1:3" ht="14.25" customHeight="1" x14ac:dyDescent="0.2">
      <c r="A546" s="82"/>
      <c r="B546" s="83" t="e">
        <f t="shared" si="1"/>
        <v>#REF!</v>
      </c>
      <c r="C546" s="87"/>
    </row>
    <row r="547" spans="1:3" ht="14.25" customHeight="1" x14ac:dyDescent="0.2">
      <c r="A547" s="82"/>
      <c r="B547" s="83" t="e">
        <f t="shared" si="1"/>
        <v>#REF!</v>
      </c>
      <c r="C547" s="87"/>
    </row>
    <row r="548" spans="1:3" ht="14.25" customHeight="1" x14ac:dyDescent="0.2">
      <c r="A548" s="82"/>
      <c r="B548" s="83" t="e">
        <f t="shared" si="1"/>
        <v>#REF!</v>
      </c>
      <c r="C548" s="87"/>
    </row>
    <row r="549" spans="1:3" ht="14.25" customHeight="1" x14ac:dyDescent="0.2">
      <c r="A549" s="82"/>
      <c r="B549" s="83" t="e">
        <f t="shared" si="1"/>
        <v>#REF!</v>
      </c>
      <c r="C549" s="87"/>
    </row>
    <row r="550" spans="1:3" ht="14.25" customHeight="1" x14ac:dyDescent="0.2">
      <c r="A550" s="82"/>
      <c r="B550" s="83" t="e">
        <f t="shared" si="1"/>
        <v>#REF!</v>
      </c>
      <c r="C550" s="87"/>
    </row>
    <row r="551" spans="1:3" ht="14.25" customHeight="1" x14ac:dyDescent="0.2">
      <c r="A551" s="82"/>
      <c r="B551" s="83" t="e">
        <f t="shared" si="1"/>
        <v>#REF!</v>
      </c>
      <c r="C551" s="87"/>
    </row>
    <row r="552" spans="1:3" ht="14.25" customHeight="1" x14ac:dyDescent="0.2">
      <c r="A552" s="82"/>
      <c r="B552" s="83" t="e">
        <f t="shared" si="1"/>
        <v>#REF!</v>
      </c>
      <c r="C552" s="87"/>
    </row>
    <row r="553" spans="1:3" ht="14.25" customHeight="1" x14ac:dyDescent="0.2">
      <c r="A553" s="82"/>
      <c r="B553" s="83" t="e">
        <f t="shared" si="1"/>
        <v>#REF!</v>
      </c>
      <c r="C553" s="87"/>
    </row>
    <row r="554" spans="1:3" ht="14.25" customHeight="1" x14ac:dyDescent="0.2">
      <c r="A554" s="82"/>
      <c r="B554" s="83" t="e">
        <f t="shared" si="1"/>
        <v>#REF!</v>
      </c>
      <c r="C554" s="87"/>
    </row>
    <row r="555" spans="1:3" ht="14.25" customHeight="1" x14ac:dyDescent="0.2">
      <c r="A555" s="82"/>
      <c r="B555" s="83" t="e">
        <f t="shared" si="1"/>
        <v>#REF!</v>
      </c>
      <c r="C555" s="87"/>
    </row>
    <row r="556" spans="1:3" ht="14.25" customHeight="1" x14ac:dyDescent="0.2">
      <c r="A556" s="82"/>
      <c r="B556" s="83" t="e">
        <f t="shared" si="1"/>
        <v>#REF!</v>
      </c>
      <c r="C556" s="87"/>
    </row>
    <row r="557" spans="1:3" ht="14.25" customHeight="1" x14ac:dyDescent="0.2">
      <c r="A557" s="82"/>
      <c r="B557" s="83" t="e">
        <f t="shared" si="1"/>
        <v>#REF!</v>
      </c>
      <c r="C557" s="87"/>
    </row>
    <row r="558" spans="1:3" ht="14.25" customHeight="1" x14ac:dyDescent="0.2">
      <c r="A558" s="82"/>
      <c r="B558" s="83" t="e">
        <f t="shared" si="1"/>
        <v>#REF!</v>
      </c>
      <c r="C558" s="87"/>
    </row>
    <row r="559" spans="1:3" ht="14.25" customHeight="1" x14ac:dyDescent="0.2">
      <c r="A559" s="82"/>
      <c r="B559" s="83" t="e">
        <f t="shared" si="1"/>
        <v>#REF!</v>
      </c>
      <c r="C559" s="87"/>
    </row>
    <row r="560" spans="1:3" ht="14.25" customHeight="1" x14ac:dyDescent="0.2">
      <c r="A560" s="82"/>
      <c r="B560" s="83" t="e">
        <f t="shared" si="1"/>
        <v>#REF!</v>
      </c>
      <c r="C560" s="87"/>
    </row>
    <row r="561" spans="1:3" ht="14.25" customHeight="1" x14ac:dyDescent="0.2">
      <c r="A561" s="82"/>
      <c r="B561" s="83" t="e">
        <f t="shared" si="1"/>
        <v>#REF!</v>
      </c>
      <c r="C561" s="87"/>
    </row>
    <row r="562" spans="1:3" ht="14.25" customHeight="1" x14ac:dyDescent="0.2">
      <c r="A562" s="82"/>
      <c r="B562" s="83" t="e">
        <f t="shared" si="1"/>
        <v>#REF!</v>
      </c>
      <c r="C562" s="87"/>
    </row>
    <row r="563" spans="1:3" ht="14.25" customHeight="1" x14ac:dyDescent="0.2">
      <c r="A563" s="82"/>
      <c r="B563" s="83" t="e">
        <f t="shared" si="1"/>
        <v>#REF!</v>
      </c>
      <c r="C563" s="87"/>
    </row>
    <row r="564" spans="1:3" ht="14.25" customHeight="1" x14ac:dyDescent="0.2">
      <c r="A564" s="82"/>
      <c r="B564" s="83" t="e">
        <f t="shared" si="1"/>
        <v>#REF!</v>
      </c>
      <c r="C564" s="87"/>
    </row>
    <row r="565" spans="1:3" ht="14.25" customHeight="1" x14ac:dyDescent="0.2">
      <c r="A565" s="82"/>
      <c r="B565" s="83" t="e">
        <f t="shared" si="1"/>
        <v>#REF!</v>
      </c>
      <c r="C565" s="87"/>
    </row>
    <row r="566" spans="1:3" ht="14.25" customHeight="1" x14ac:dyDescent="0.2">
      <c r="A566" s="82"/>
      <c r="B566" s="83" t="e">
        <f t="shared" si="1"/>
        <v>#REF!</v>
      </c>
      <c r="C566" s="87"/>
    </row>
    <row r="567" spans="1:3" ht="14.25" customHeight="1" x14ac:dyDescent="0.2">
      <c r="A567" s="82"/>
      <c r="B567" s="83" t="e">
        <f t="shared" si="1"/>
        <v>#REF!</v>
      </c>
      <c r="C567" s="87"/>
    </row>
    <row r="568" spans="1:3" ht="14.25" customHeight="1" x14ac:dyDescent="0.2">
      <c r="A568" s="82"/>
      <c r="B568" s="83" t="e">
        <f t="shared" si="1"/>
        <v>#REF!</v>
      </c>
      <c r="C568" s="87"/>
    </row>
    <row r="569" spans="1:3" ht="14.25" customHeight="1" x14ac:dyDescent="0.2">
      <c r="A569" s="82"/>
      <c r="B569" s="83" t="e">
        <f t="shared" si="1"/>
        <v>#REF!</v>
      </c>
      <c r="C569" s="87"/>
    </row>
    <row r="570" spans="1:3" ht="14.25" customHeight="1" x14ac:dyDescent="0.2">
      <c r="A570" s="82"/>
      <c r="B570" s="83" t="e">
        <f t="shared" si="1"/>
        <v>#REF!</v>
      </c>
      <c r="C570" s="87"/>
    </row>
    <row r="571" spans="1:3" ht="14.25" customHeight="1" x14ac:dyDescent="0.2">
      <c r="A571" s="82"/>
      <c r="B571" s="83" t="e">
        <f t="shared" si="1"/>
        <v>#REF!</v>
      </c>
      <c r="C571" s="87"/>
    </row>
    <row r="572" spans="1:3" ht="14.25" customHeight="1" x14ac:dyDescent="0.2">
      <c r="A572" s="82"/>
      <c r="B572" s="83" t="e">
        <f t="shared" si="1"/>
        <v>#REF!</v>
      </c>
      <c r="C572" s="87"/>
    </row>
    <row r="573" spans="1:3" ht="14.25" customHeight="1" x14ac:dyDescent="0.2">
      <c r="A573" s="82"/>
      <c r="B573" s="83" t="e">
        <f t="shared" si="1"/>
        <v>#REF!</v>
      </c>
      <c r="C573" s="87"/>
    </row>
    <row r="574" spans="1:3" ht="14.25" customHeight="1" x14ac:dyDescent="0.2">
      <c r="A574" s="82"/>
      <c r="B574" s="83" t="e">
        <f t="shared" si="1"/>
        <v>#REF!</v>
      </c>
      <c r="C574" s="87"/>
    </row>
    <row r="575" spans="1:3" ht="14.25" customHeight="1" x14ac:dyDescent="0.2">
      <c r="A575" s="82"/>
      <c r="B575" s="83" t="e">
        <f t="shared" si="1"/>
        <v>#REF!</v>
      </c>
      <c r="C575" s="87"/>
    </row>
    <row r="576" spans="1:3" ht="14.25" customHeight="1" x14ac:dyDescent="0.2">
      <c r="A576" s="82"/>
      <c r="B576" s="83" t="e">
        <f t="shared" si="1"/>
        <v>#REF!</v>
      </c>
      <c r="C576" s="87"/>
    </row>
    <row r="577" spans="1:3" ht="14.25" customHeight="1" x14ac:dyDescent="0.2">
      <c r="A577" s="82"/>
      <c r="B577" s="83" t="e">
        <f t="shared" si="1"/>
        <v>#REF!</v>
      </c>
      <c r="C577" s="87"/>
    </row>
    <row r="578" spans="1:3" ht="14.25" customHeight="1" x14ac:dyDescent="0.2">
      <c r="A578" s="82"/>
      <c r="B578" s="83" t="e">
        <f t="shared" si="1"/>
        <v>#REF!</v>
      </c>
      <c r="C578" s="87"/>
    </row>
    <row r="579" spans="1:3" ht="14.25" customHeight="1" x14ac:dyDescent="0.2">
      <c r="A579" s="82"/>
      <c r="B579" s="83" t="e">
        <f t="shared" si="1"/>
        <v>#REF!</v>
      </c>
      <c r="C579" s="87"/>
    </row>
    <row r="580" spans="1:3" ht="14.25" customHeight="1" x14ac:dyDescent="0.2">
      <c r="A580" s="82"/>
      <c r="B580" s="83" t="e">
        <f t="shared" si="1"/>
        <v>#REF!</v>
      </c>
      <c r="C580" s="87"/>
    </row>
    <row r="581" spans="1:3" ht="14.25" customHeight="1" x14ac:dyDescent="0.2">
      <c r="A581" s="82"/>
      <c r="B581" s="83" t="e">
        <f t="shared" si="1"/>
        <v>#REF!</v>
      </c>
      <c r="C581" s="87"/>
    </row>
    <row r="582" spans="1:3" ht="14.25" customHeight="1" x14ac:dyDescent="0.2">
      <c r="A582" s="82"/>
      <c r="B582" s="83" t="e">
        <f t="shared" si="1"/>
        <v>#REF!</v>
      </c>
      <c r="C582" s="87"/>
    </row>
    <row r="583" spans="1:3" ht="14.25" customHeight="1" x14ac:dyDescent="0.2">
      <c r="A583" s="82"/>
      <c r="B583" s="83" t="e">
        <f t="shared" si="1"/>
        <v>#REF!</v>
      </c>
      <c r="C583" s="87"/>
    </row>
    <row r="584" spans="1:3" ht="14.25" customHeight="1" x14ac:dyDescent="0.2">
      <c r="A584" s="82"/>
      <c r="B584" s="83" t="e">
        <f t="shared" si="1"/>
        <v>#REF!</v>
      </c>
      <c r="C584" s="87"/>
    </row>
    <row r="585" spans="1:3" ht="14.25" customHeight="1" x14ac:dyDescent="0.2">
      <c r="A585" s="82"/>
      <c r="B585" s="83" t="e">
        <f t="shared" si="1"/>
        <v>#REF!</v>
      </c>
      <c r="C585" s="87"/>
    </row>
    <row r="586" spans="1:3" ht="14.25" customHeight="1" x14ac:dyDescent="0.2">
      <c r="A586" s="82"/>
      <c r="B586" s="83" t="e">
        <f t="shared" si="1"/>
        <v>#REF!</v>
      </c>
      <c r="C586" s="87"/>
    </row>
    <row r="587" spans="1:3" ht="14.25" customHeight="1" x14ac:dyDescent="0.2">
      <c r="A587" s="82"/>
      <c r="B587" s="83" t="e">
        <f t="shared" si="1"/>
        <v>#REF!</v>
      </c>
      <c r="C587" s="87"/>
    </row>
    <row r="588" spans="1:3" ht="14.25" customHeight="1" x14ac:dyDescent="0.2">
      <c r="A588" s="82"/>
      <c r="B588" s="83" t="e">
        <f t="shared" si="1"/>
        <v>#REF!</v>
      </c>
      <c r="C588" s="87"/>
    </row>
    <row r="589" spans="1:3" ht="14.25" customHeight="1" x14ac:dyDescent="0.2">
      <c r="A589" s="82"/>
      <c r="B589" s="83" t="e">
        <f t="shared" si="1"/>
        <v>#REF!</v>
      </c>
      <c r="C589" s="87"/>
    </row>
    <row r="590" spans="1:3" ht="14.25" customHeight="1" x14ac:dyDescent="0.2">
      <c r="A590" s="82"/>
      <c r="B590" s="83" t="e">
        <f t="shared" si="1"/>
        <v>#REF!</v>
      </c>
      <c r="C590" s="87"/>
    </row>
    <row r="591" spans="1:3" ht="14.25" customHeight="1" x14ac:dyDescent="0.2">
      <c r="A591" s="82"/>
      <c r="B591" s="83" t="e">
        <f t="shared" si="1"/>
        <v>#REF!</v>
      </c>
      <c r="C591" s="87"/>
    </row>
    <row r="592" spans="1:3" ht="14.25" customHeight="1" x14ac:dyDescent="0.2">
      <c r="A592" s="82"/>
      <c r="B592" s="83" t="e">
        <f t="shared" si="1"/>
        <v>#REF!</v>
      </c>
      <c r="C592" s="87"/>
    </row>
    <row r="593" spans="1:3" ht="14.25" customHeight="1" x14ac:dyDescent="0.2">
      <c r="A593" s="82"/>
      <c r="B593" s="83" t="e">
        <f t="shared" si="1"/>
        <v>#REF!</v>
      </c>
      <c r="C593" s="87"/>
    </row>
    <row r="594" spans="1:3" ht="14.25" customHeight="1" x14ac:dyDescent="0.2">
      <c r="A594" s="82"/>
      <c r="B594" s="83" t="e">
        <f t="shared" si="1"/>
        <v>#REF!</v>
      </c>
      <c r="C594" s="87"/>
    </row>
    <row r="595" spans="1:3" ht="14.25" customHeight="1" x14ac:dyDescent="0.2">
      <c r="A595" s="82"/>
      <c r="B595" s="83" t="e">
        <f t="shared" si="1"/>
        <v>#REF!</v>
      </c>
      <c r="C595" s="87"/>
    </row>
    <row r="596" spans="1:3" ht="14.25" customHeight="1" x14ac:dyDescent="0.2">
      <c r="A596" s="82"/>
      <c r="B596" s="83" t="e">
        <f t="shared" si="1"/>
        <v>#REF!</v>
      </c>
      <c r="C596" s="87"/>
    </row>
    <row r="597" spans="1:3" ht="14.25" customHeight="1" x14ac:dyDescent="0.2">
      <c r="A597" s="82"/>
      <c r="B597" s="83" t="e">
        <f t="shared" si="1"/>
        <v>#REF!</v>
      </c>
      <c r="C597" s="87"/>
    </row>
    <row r="598" spans="1:3" ht="14.25" customHeight="1" x14ac:dyDescent="0.2">
      <c r="A598" s="82"/>
      <c r="B598" s="83" t="e">
        <f t="shared" si="1"/>
        <v>#REF!</v>
      </c>
      <c r="C598" s="87"/>
    </row>
    <row r="599" spans="1:3" ht="14.25" customHeight="1" x14ac:dyDescent="0.2">
      <c r="A599" s="82"/>
      <c r="B599" s="83" t="e">
        <f t="shared" si="1"/>
        <v>#REF!</v>
      </c>
      <c r="C599" s="87"/>
    </row>
    <row r="600" spans="1:3" ht="14.25" customHeight="1" x14ac:dyDescent="0.2">
      <c r="A600" s="82"/>
      <c r="B600" s="83" t="e">
        <f t="shared" si="1"/>
        <v>#REF!</v>
      </c>
      <c r="C600" s="87"/>
    </row>
    <row r="601" spans="1:3" ht="14.25" customHeight="1" x14ac:dyDescent="0.2">
      <c r="A601" s="82"/>
      <c r="B601" s="83" t="e">
        <f t="shared" si="1"/>
        <v>#REF!</v>
      </c>
      <c r="C601" s="87"/>
    </row>
    <row r="602" spans="1:3" ht="14.25" customHeight="1" x14ac:dyDescent="0.2">
      <c r="A602" s="82"/>
      <c r="B602" s="83" t="e">
        <f t="shared" si="1"/>
        <v>#REF!</v>
      </c>
      <c r="C602" s="87"/>
    </row>
    <row r="603" spans="1:3" ht="14.25" customHeight="1" x14ac:dyDescent="0.2">
      <c r="A603" s="82"/>
      <c r="B603" s="83" t="e">
        <f t="shared" si="1"/>
        <v>#REF!</v>
      </c>
      <c r="C603" s="87"/>
    </row>
    <row r="604" spans="1:3" ht="14.25" customHeight="1" x14ac:dyDescent="0.2">
      <c r="A604" s="82"/>
      <c r="B604" s="83" t="e">
        <f t="shared" si="1"/>
        <v>#REF!</v>
      </c>
      <c r="C604" s="87"/>
    </row>
    <row r="605" spans="1:3" ht="14.25" customHeight="1" x14ac:dyDescent="0.2">
      <c r="A605" s="82"/>
      <c r="B605" s="83" t="e">
        <f t="shared" si="1"/>
        <v>#REF!</v>
      </c>
      <c r="C605" s="87"/>
    </row>
    <row r="606" spans="1:3" ht="14.25" customHeight="1" x14ac:dyDescent="0.2">
      <c r="A606" s="82"/>
      <c r="B606" s="83" t="e">
        <f t="shared" si="1"/>
        <v>#REF!</v>
      </c>
      <c r="C606" s="87"/>
    </row>
    <row r="607" spans="1:3" ht="14.25" customHeight="1" x14ac:dyDescent="0.2">
      <c r="A607" s="82"/>
      <c r="B607" s="83" t="e">
        <f t="shared" si="1"/>
        <v>#REF!</v>
      </c>
      <c r="C607" s="87"/>
    </row>
    <row r="608" spans="1:3" ht="14.25" customHeight="1" x14ac:dyDescent="0.2">
      <c r="A608" s="82"/>
      <c r="B608" s="83" t="e">
        <f t="shared" si="1"/>
        <v>#REF!</v>
      </c>
      <c r="C608" s="87"/>
    </row>
    <row r="609" spans="1:3" ht="14.25" customHeight="1" x14ac:dyDescent="0.2">
      <c r="A609" s="82"/>
      <c r="B609" s="83" t="e">
        <f t="shared" si="1"/>
        <v>#REF!</v>
      </c>
      <c r="C609" s="87"/>
    </row>
    <row r="610" spans="1:3" ht="14.25" customHeight="1" x14ac:dyDescent="0.2">
      <c r="A610" s="82"/>
      <c r="B610" s="83" t="e">
        <f t="shared" si="1"/>
        <v>#REF!</v>
      </c>
      <c r="C610" s="87"/>
    </row>
    <row r="611" spans="1:3" ht="14.25" customHeight="1" x14ac:dyDescent="0.2">
      <c r="A611" s="82"/>
      <c r="B611" s="83" t="e">
        <f t="shared" si="1"/>
        <v>#REF!</v>
      </c>
      <c r="C611" s="87"/>
    </row>
    <row r="612" spans="1:3" ht="14.25" customHeight="1" x14ac:dyDescent="0.2">
      <c r="A612" s="82"/>
      <c r="B612" s="83" t="e">
        <f t="shared" si="1"/>
        <v>#REF!</v>
      </c>
      <c r="C612" s="87"/>
    </row>
    <row r="613" spans="1:3" ht="14.25" customHeight="1" x14ac:dyDescent="0.2">
      <c r="A613" s="82"/>
      <c r="B613" s="83" t="e">
        <f t="shared" si="1"/>
        <v>#REF!</v>
      </c>
      <c r="C613" s="87"/>
    </row>
    <row r="614" spans="1:3" ht="14.25" customHeight="1" x14ac:dyDescent="0.2">
      <c r="A614" s="82"/>
      <c r="B614" s="83" t="e">
        <f t="shared" si="1"/>
        <v>#REF!</v>
      </c>
      <c r="C614" s="87"/>
    </row>
    <row r="615" spans="1:3" ht="14.25" customHeight="1" x14ac:dyDescent="0.2">
      <c r="A615" s="82"/>
      <c r="B615" s="83" t="e">
        <f t="shared" si="1"/>
        <v>#REF!</v>
      </c>
      <c r="C615" s="87"/>
    </row>
    <row r="616" spans="1:3" ht="14.25" customHeight="1" x14ac:dyDescent="0.2">
      <c r="A616" s="82"/>
      <c r="B616" s="83" t="e">
        <f t="shared" si="1"/>
        <v>#REF!</v>
      </c>
      <c r="C616" s="87"/>
    </row>
    <row r="617" spans="1:3" ht="14.25" customHeight="1" x14ac:dyDescent="0.2">
      <c r="A617" s="82"/>
      <c r="B617" s="83" t="e">
        <f t="shared" si="1"/>
        <v>#REF!</v>
      </c>
      <c r="C617" s="87"/>
    </row>
    <row r="618" spans="1:3" ht="14.25" customHeight="1" x14ac:dyDescent="0.2">
      <c r="A618" s="82"/>
      <c r="B618" s="83" t="e">
        <f t="shared" si="1"/>
        <v>#REF!</v>
      </c>
      <c r="C618" s="87"/>
    </row>
    <row r="619" spans="1:3" ht="14.25" customHeight="1" x14ac:dyDescent="0.2">
      <c r="A619" s="82"/>
      <c r="B619" s="83" t="e">
        <f t="shared" si="1"/>
        <v>#REF!</v>
      </c>
      <c r="C619" s="87"/>
    </row>
    <row r="620" spans="1:3" ht="14.25" customHeight="1" x14ac:dyDescent="0.2">
      <c r="A620" s="82"/>
      <c r="B620" s="83" t="e">
        <f t="shared" si="1"/>
        <v>#REF!</v>
      </c>
      <c r="C620" s="87"/>
    </row>
    <row r="621" spans="1:3" ht="14.25" customHeight="1" x14ac:dyDescent="0.2">
      <c r="A621" s="82"/>
      <c r="B621" s="83" t="e">
        <f t="shared" si="1"/>
        <v>#REF!</v>
      </c>
      <c r="C621" s="87"/>
    </row>
    <row r="622" spans="1:3" ht="14.25" customHeight="1" x14ac:dyDescent="0.2">
      <c r="A622" s="82"/>
      <c r="B622" s="83" t="e">
        <f t="shared" si="1"/>
        <v>#REF!</v>
      </c>
      <c r="C622" s="87"/>
    </row>
    <row r="623" spans="1:3" ht="14.25" customHeight="1" x14ac:dyDescent="0.2">
      <c r="A623" s="82"/>
      <c r="B623" s="83" t="e">
        <f t="shared" si="1"/>
        <v>#REF!</v>
      </c>
      <c r="C623" s="87"/>
    </row>
    <row r="624" spans="1:3" ht="14.25" customHeight="1" x14ac:dyDescent="0.2">
      <c r="A624" s="82"/>
      <c r="B624" s="83" t="e">
        <f t="shared" si="1"/>
        <v>#REF!</v>
      </c>
      <c r="C624" s="87"/>
    </row>
    <row r="625" spans="1:3" ht="14.25" customHeight="1" x14ac:dyDescent="0.2">
      <c r="A625" s="82"/>
      <c r="B625" s="83" t="e">
        <f t="shared" si="1"/>
        <v>#REF!</v>
      </c>
      <c r="C625" s="87"/>
    </row>
    <row r="626" spans="1:3" ht="14.25" customHeight="1" x14ac:dyDescent="0.2">
      <c r="A626" s="82"/>
      <c r="B626" s="83" t="e">
        <f t="shared" si="1"/>
        <v>#REF!</v>
      </c>
      <c r="C626" s="87"/>
    </row>
    <row r="627" spans="1:3" ht="14.25" customHeight="1" x14ac:dyDescent="0.2">
      <c r="A627" s="82"/>
      <c r="B627" s="83" t="e">
        <f t="shared" si="1"/>
        <v>#REF!</v>
      </c>
      <c r="C627" s="87"/>
    </row>
    <row r="628" spans="1:3" ht="14.25" customHeight="1" x14ac:dyDescent="0.2">
      <c r="A628" s="82"/>
      <c r="B628" s="83" t="e">
        <f t="shared" si="1"/>
        <v>#REF!</v>
      </c>
      <c r="C628" s="87"/>
    </row>
    <row r="629" spans="1:3" ht="14.25" customHeight="1" x14ac:dyDescent="0.2">
      <c r="A629" s="82"/>
      <c r="B629" s="83" t="e">
        <f t="shared" si="1"/>
        <v>#REF!</v>
      </c>
      <c r="C629" s="87"/>
    </row>
    <row r="630" spans="1:3" ht="14.25" customHeight="1" x14ac:dyDescent="0.2">
      <c r="A630" s="82"/>
      <c r="B630" s="83" t="e">
        <f t="shared" si="1"/>
        <v>#REF!</v>
      </c>
      <c r="C630" s="87"/>
    </row>
    <row r="631" spans="1:3" ht="14.25" customHeight="1" x14ac:dyDescent="0.2">
      <c r="A631" s="82"/>
      <c r="B631" s="83" t="e">
        <f t="shared" si="1"/>
        <v>#REF!</v>
      </c>
      <c r="C631" s="87"/>
    </row>
    <row r="632" spans="1:3" ht="14.25" customHeight="1" x14ac:dyDescent="0.2">
      <c r="A632" s="82"/>
      <c r="B632" s="83" t="e">
        <f t="shared" si="1"/>
        <v>#REF!</v>
      </c>
      <c r="C632" s="87"/>
    </row>
    <row r="633" spans="1:3" ht="14.25" customHeight="1" x14ac:dyDescent="0.2">
      <c r="A633" s="82"/>
      <c r="B633" s="83" t="e">
        <f t="shared" si="1"/>
        <v>#REF!</v>
      </c>
      <c r="C633" s="87"/>
    </row>
    <row r="634" spans="1:3" ht="14.25" customHeight="1" x14ac:dyDescent="0.2">
      <c r="A634" s="82"/>
      <c r="B634" s="83" t="e">
        <f t="shared" si="1"/>
        <v>#REF!</v>
      </c>
      <c r="C634" s="87"/>
    </row>
    <row r="635" spans="1:3" ht="14.25" customHeight="1" x14ac:dyDescent="0.2">
      <c r="A635" s="82"/>
      <c r="B635" s="83" t="e">
        <f t="shared" si="1"/>
        <v>#REF!</v>
      </c>
      <c r="C635" s="87"/>
    </row>
    <row r="636" spans="1:3" ht="14.25" customHeight="1" x14ac:dyDescent="0.2">
      <c r="A636" s="82"/>
      <c r="B636" s="83" t="e">
        <f t="shared" si="1"/>
        <v>#REF!</v>
      </c>
      <c r="C636" s="87"/>
    </row>
    <row r="637" spans="1:3" ht="14.25" customHeight="1" x14ac:dyDescent="0.2">
      <c r="A637" s="82"/>
      <c r="B637" s="83" t="e">
        <f t="shared" si="1"/>
        <v>#REF!</v>
      </c>
      <c r="C637" s="87"/>
    </row>
    <row r="638" spans="1:3" ht="14.25" customHeight="1" x14ac:dyDescent="0.2">
      <c r="A638" s="82"/>
      <c r="B638" s="83" t="e">
        <f t="shared" si="1"/>
        <v>#REF!</v>
      </c>
      <c r="C638" s="87"/>
    </row>
    <row r="639" spans="1:3" ht="14.25" customHeight="1" x14ac:dyDescent="0.2">
      <c r="A639" s="82"/>
      <c r="B639" s="83" t="e">
        <f t="shared" si="1"/>
        <v>#REF!</v>
      </c>
      <c r="C639" s="87"/>
    </row>
    <row r="640" spans="1:3" ht="14.25" customHeight="1" x14ac:dyDescent="0.2">
      <c r="A640" s="82"/>
      <c r="B640" s="83" t="e">
        <f t="shared" si="1"/>
        <v>#REF!</v>
      </c>
      <c r="C640" s="87"/>
    </row>
    <row r="641" spans="1:3" ht="14.25" customHeight="1" x14ac:dyDescent="0.2">
      <c r="A641" s="82"/>
      <c r="B641" s="83" t="e">
        <f t="shared" si="1"/>
        <v>#REF!</v>
      </c>
      <c r="C641" s="87"/>
    </row>
    <row r="642" spans="1:3" ht="14.25" customHeight="1" x14ac:dyDescent="0.2">
      <c r="A642" s="82"/>
      <c r="B642" s="83" t="e">
        <f t="shared" si="1"/>
        <v>#REF!</v>
      </c>
      <c r="C642" s="87"/>
    </row>
    <row r="643" spans="1:3" ht="14.25" customHeight="1" x14ac:dyDescent="0.2">
      <c r="A643" s="82"/>
      <c r="B643" s="83" t="e">
        <f t="shared" si="1"/>
        <v>#REF!</v>
      </c>
      <c r="C643" s="87"/>
    </row>
    <row r="644" spans="1:3" ht="14.25" customHeight="1" x14ac:dyDescent="0.2">
      <c r="A644" s="82"/>
      <c r="B644" s="83" t="e">
        <f t="shared" si="1"/>
        <v>#REF!</v>
      </c>
      <c r="C644" s="87"/>
    </row>
    <row r="645" spans="1:3" ht="14.25" customHeight="1" x14ac:dyDescent="0.2">
      <c r="A645" s="82"/>
      <c r="B645" s="83" t="e">
        <f t="shared" si="1"/>
        <v>#REF!</v>
      </c>
      <c r="C645" s="87"/>
    </row>
    <row r="646" spans="1:3" ht="14.25" customHeight="1" x14ac:dyDescent="0.2">
      <c r="A646" s="82"/>
      <c r="B646" s="83" t="e">
        <f t="shared" si="1"/>
        <v>#REF!</v>
      </c>
      <c r="C646" s="87"/>
    </row>
    <row r="647" spans="1:3" ht="14.25" customHeight="1" x14ac:dyDescent="0.2">
      <c r="A647" s="82"/>
      <c r="B647" s="83" t="e">
        <f t="shared" si="1"/>
        <v>#REF!</v>
      </c>
      <c r="C647" s="87"/>
    </row>
    <row r="648" spans="1:3" ht="14.25" customHeight="1" x14ac:dyDescent="0.2">
      <c r="A648" s="82"/>
      <c r="B648" s="83" t="e">
        <f t="shared" si="1"/>
        <v>#REF!</v>
      </c>
      <c r="C648" s="87"/>
    </row>
    <row r="649" spans="1:3" ht="14.25" customHeight="1" x14ac:dyDescent="0.2">
      <c r="A649" s="82"/>
      <c r="B649" s="83" t="e">
        <f t="shared" si="1"/>
        <v>#REF!</v>
      </c>
      <c r="C649" s="87"/>
    </row>
    <row r="650" spans="1:3" ht="14.25" customHeight="1" x14ac:dyDescent="0.2">
      <c r="A650" s="82"/>
      <c r="B650" s="83" t="e">
        <f t="shared" si="1"/>
        <v>#REF!</v>
      </c>
      <c r="C650" s="87"/>
    </row>
    <row r="651" spans="1:3" ht="14.25" customHeight="1" x14ac:dyDescent="0.2">
      <c r="A651" s="82"/>
      <c r="B651" s="83" t="e">
        <f t="shared" si="1"/>
        <v>#REF!</v>
      </c>
      <c r="C651" s="87"/>
    </row>
    <row r="652" spans="1:3" ht="14.25" customHeight="1" x14ac:dyDescent="0.2">
      <c r="A652" s="82"/>
      <c r="B652" s="83" t="e">
        <f t="shared" si="1"/>
        <v>#REF!</v>
      </c>
      <c r="C652" s="87"/>
    </row>
    <row r="653" spans="1:3" ht="14.25" customHeight="1" x14ac:dyDescent="0.2">
      <c r="A653" s="82"/>
      <c r="B653" s="83" t="e">
        <f t="shared" si="1"/>
        <v>#REF!</v>
      </c>
      <c r="C653" s="87"/>
    </row>
    <row r="654" spans="1:3" ht="14.25" customHeight="1" x14ac:dyDescent="0.2">
      <c r="A654" s="82"/>
      <c r="B654" s="83" t="e">
        <f t="shared" si="1"/>
        <v>#REF!</v>
      </c>
      <c r="C654" s="87"/>
    </row>
    <row r="655" spans="1:3" ht="14.25" customHeight="1" x14ac:dyDescent="0.2">
      <c r="A655" s="82"/>
      <c r="B655" s="83" t="e">
        <f t="shared" si="1"/>
        <v>#REF!</v>
      </c>
      <c r="C655" s="87"/>
    </row>
    <row r="656" spans="1:3" ht="14.25" customHeight="1" x14ac:dyDescent="0.2">
      <c r="A656" s="82"/>
      <c r="B656" s="83" t="e">
        <f t="shared" si="1"/>
        <v>#REF!</v>
      </c>
      <c r="C656" s="87"/>
    </row>
    <row r="657" spans="1:3" ht="14.25" customHeight="1" x14ac:dyDescent="0.2">
      <c r="A657" s="82"/>
      <c r="B657" s="83" t="e">
        <f t="shared" si="1"/>
        <v>#REF!</v>
      </c>
      <c r="C657" s="87"/>
    </row>
    <row r="658" spans="1:3" ht="14.25" customHeight="1" x14ac:dyDescent="0.2">
      <c r="A658" s="82"/>
      <c r="B658" s="83" t="e">
        <f t="shared" si="1"/>
        <v>#REF!</v>
      </c>
      <c r="C658" s="87"/>
    </row>
    <row r="659" spans="1:3" ht="14.25" customHeight="1" x14ac:dyDescent="0.2">
      <c r="A659" s="82"/>
      <c r="B659" s="83" t="e">
        <f t="shared" si="1"/>
        <v>#REF!</v>
      </c>
      <c r="C659" s="87"/>
    </row>
    <row r="660" spans="1:3" ht="14.25" customHeight="1" x14ac:dyDescent="0.2">
      <c r="A660" s="82"/>
      <c r="B660" s="83" t="e">
        <f t="shared" si="1"/>
        <v>#REF!</v>
      </c>
      <c r="C660" s="87"/>
    </row>
    <row r="661" spans="1:3" ht="14.25" customHeight="1" x14ac:dyDescent="0.2">
      <c r="A661" s="82"/>
      <c r="B661" s="83" t="e">
        <f t="shared" si="1"/>
        <v>#REF!</v>
      </c>
      <c r="C661" s="87"/>
    </row>
    <row r="662" spans="1:3" ht="14.25" customHeight="1" x14ac:dyDescent="0.2">
      <c r="A662" s="82"/>
      <c r="B662" s="83" t="e">
        <f t="shared" si="1"/>
        <v>#REF!</v>
      </c>
      <c r="C662" s="87"/>
    </row>
    <row r="663" spans="1:3" ht="14.25" customHeight="1" x14ac:dyDescent="0.2">
      <c r="A663" s="82"/>
      <c r="B663" s="83" t="e">
        <f t="shared" si="1"/>
        <v>#REF!</v>
      </c>
      <c r="C663" s="87"/>
    </row>
    <row r="664" spans="1:3" ht="14.25" customHeight="1" x14ac:dyDescent="0.2">
      <c r="A664" s="82"/>
      <c r="B664" s="83" t="e">
        <f t="shared" si="1"/>
        <v>#REF!</v>
      </c>
      <c r="C664" s="87"/>
    </row>
    <row r="665" spans="1:3" ht="14.25" customHeight="1" x14ac:dyDescent="0.2">
      <c r="A665" s="82"/>
      <c r="B665" s="83" t="e">
        <f t="shared" si="1"/>
        <v>#REF!</v>
      </c>
      <c r="C665" s="87"/>
    </row>
    <row r="666" spans="1:3" ht="14.25" customHeight="1" x14ac:dyDescent="0.2">
      <c r="A666" s="82"/>
      <c r="B666" s="83" t="e">
        <f t="shared" si="1"/>
        <v>#REF!</v>
      </c>
      <c r="C666" s="87"/>
    </row>
    <row r="667" spans="1:3" ht="14.25" customHeight="1" x14ac:dyDescent="0.2">
      <c r="A667" s="82"/>
      <c r="B667" s="83" t="e">
        <f t="shared" si="1"/>
        <v>#REF!</v>
      </c>
      <c r="C667" s="87"/>
    </row>
    <row r="668" spans="1:3" ht="14.25" customHeight="1" x14ac:dyDescent="0.2">
      <c r="A668" s="82"/>
      <c r="B668" s="83" t="e">
        <f t="shared" si="1"/>
        <v>#REF!</v>
      </c>
      <c r="C668" s="87"/>
    </row>
    <row r="669" spans="1:3" ht="14.25" customHeight="1" x14ac:dyDescent="0.2">
      <c r="A669" s="82"/>
      <c r="B669" s="83" t="e">
        <f t="shared" si="1"/>
        <v>#REF!</v>
      </c>
      <c r="C669" s="87"/>
    </row>
    <row r="670" spans="1:3" ht="14.25" customHeight="1" x14ac:dyDescent="0.2">
      <c r="A670" s="82"/>
      <c r="B670" s="83" t="e">
        <f t="shared" si="1"/>
        <v>#REF!</v>
      </c>
      <c r="C670" s="87"/>
    </row>
    <row r="671" spans="1:3" ht="14.25" customHeight="1" x14ac:dyDescent="0.2">
      <c r="A671" s="82"/>
      <c r="B671" s="83" t="e">
        <f t="shared" si="1"/>
        <v>#REF!</v>
      </c>
      <c r="C671" s="87"/>
    </row>
    <row r="672" spans="1:3" ht="14.25" customHeight="1" x14ac:dyDescent="0.2">
      <c r="A672" s="82"/>
      <c r="B672" s="83" t="e">
        <f t="shared" si="1"/>
        <v>#REF!</v>
      </c>
      <c r="C672" s="87"/>
    </row>
    <row r="673" spans="1:3" ht="14.25" customHeight="1" x14ac:dyDescent="0.2">
      <c r="A673" s="82"/>
      <c r="B673" s="83" t="e">
        <f t="shared" si="1"/>
        <v>#REF!</v>
      </c>
      <c r="C673" s="87"/>
    </row>
    <row r="674" spans="1:3" ht="14.25" customHeight="1" x14ac:dyDescent="0.2">
      <c r="A674" s="82"/>
      <c r="B674" s="83" t="e">
        <f t="shared" si="1"/>
        <v>#REF!</v>
      </c>
      <c r="C674" s="87"/>
    </row>
    <row r="675" spans="1:3" ht="14.25" customHeight="1" x14ac:dyDescent="0.2">
      <c r="A675" s="82"/>
      <c r="B675" s="83" t="e">
        <f t="shared" si="1"/>
        <v>#REF!</v>
      </c>
      <c r="C675" s="87"/>
    </row>
    <row r="676" spans="1:3" ht="14.25" customHeight="1" x14ac:dyDescent="0.2">
      <c r="A676" s="82"/>
      <c r="B676" s="83" t="e">
        <f t="shared" si="1"/>
        <v>#REF!</v>
      </c>
      <c r="C676" s="87"/>
    </row>
    <row r="677" spans="1:3" ht="14.25" customHeight="1" x14ac:dyDescent="0.2">
      <c r="A677" s="82"/>
      <c r="B677" s="83" t="e">
        <f t="shared" si="1"/>
        <v>#REF!</v>
      </c>
      <c r="C677" s="87"/>
    </row>
    <row r="678" spans="1:3" ht="14.25" customHeight="1" x14ac:dyDescent="0.2">
      <c r="A678" s="82"/>
      <c r="B678" s="83" t="e">
        <f t="shared" si="1"/>
        <v>#REF!</v>
      </c>
      <c r="C678" s="87"/>
    </row>
    <row r="679" spans="1:3" ht="14.25" customHeight="1" x14ac:dyDescent="0.2">
      <c r="A679" s="82"/>
      <c r="B679" s="83" t="e">
        <f t="shared" si="1"/>
        <v>#REF!</v>
      </c>
      <c r="C679" s="87"/>
    </row>
    <row r="680" spans="1:3" ht="14.25" customHeight="1" x14ac:dyDescent="0.2">
      <c r="A680" s="82"/>
      <c r="B680" s="83" t="e">
        <f t="shared" si="1"/>
        <v>#REF!</v>
      </c>
      <c r="C680" s="87"/>
    </row>
    <row r="681" spans="1:3" ht="14.25" customHeight="1" x14ac:dyDescent="0.2">
      <c r="A681" s="82"/>
      <c r="B681" s="83" t="e">
        <f t="shared" si="1"/>
        <v>#REF!</v>
      </c>
      <c r="C681" s="87"/>
    </row>
    <row r="682" spans="1:3" ht="14.25" customHeight="1" x14ac:dyDescent="0.2">
      <c r="A682" s="82"/>
      <c r="B682" s="83" t="e">
        <f t="shared" si="1"/>
        <v>#REF!</v>
      </c>
      <c r="C682" s="87"/>
    </row>
    <row r="683" spans="1:3" ht="14.25" customHeight="1" x14ac:dyDescent="0.2">
      <c r="A683" s="82"/>
      <c r="B683" s="83" t="e">
        <f t="shared" si="1"/>
        <v>#REF!</v>
      </c>
      <c r="C683" s="87"/>
    </row>
    <row r="684" spans="1:3" ht="14.25" customHeight="1" x14ac:dyDescent="0.2">
      <c r="A684" s="82"/>
      <c r="B684" s="83" t="e">
        <f t="shared" si="1"/>
        <v>#REF!</v>
      </c>
      <c r="C684" s="87"/>
    </row>
    <row r="685" spans="1:3" ht="14.25" customHeight="1" x14ac:dyDescent="0.2">
      <c r="A685" s="82"/>
      <c r="B685" s="83" t="e">
        <f t="shared" si="1"/>
        <v>#REF!</v>
      </c>
      <c r="C685" s="87"/>
    </row>
    <row r="686" spans="1:3" ht="14.25" customHeight="1" x14ac:dyDescent="0.2">
      <c r="A686" s="82"/>
      <c r="B686" s="83" t="e">
        <f t="shared" si="1"/>
        <v>#REF!</v>
      </c>
      <c r="C686" s="87"/>
    </row>
    <row r="687" spans="1:3" ht="14.25" customHeight="1" x14ac:dyDescent="0.2">
      <c r="A687" s="82"/>
      <c r="B687" s="83" t="e">
        <f t="shared" si="1"/>
        <v>#REF!</v>
      </c>
      <c r="C687" s="87"/>
    </row>
    <row r="688" spans="1:3" ht="14.25" customHeight="1" x14ac:dyDescent="0.2">
      <c r="A688" s="82"/>
      <c r="B688" s="83" t="e">
        <f t="shared" si="1"/>
        <v>#REF!</v>
      </c>
      <c r="C688" s="87"/>
    </row>
    <row r="689" spans="1:3" ht="14.25" customHeight="1" x14ac:dyDescent="0.2">
      <c r="A689" s="82"/>
      <c r="B689" s="83" t="e">
        <f t="shared" si="1"/>
        <v>#REF!</v>
      </c>
      <c r="C689" s="87"/>
    </row>
    <row r="690" spans="1:3" ht="14.25" customHeight="1" x14ac:dyDescent="0.2">
      <c r="A690" s="82"/>
      <c r="B690" s="83" t="e">
        <f t="shared" si="1"/>
        <v>#REF!</v>
      </c>
      <c r="C690" s="87"/>
    </row>
    <row r="691" spans="1:3" ht="14.25" customHeight="1" x14ac:dyDescent="0.2">
      <c r="A691" s="82"/>
      <c r="B691" s="83" t="e">
        <f t="shared" si="1"/>
        <v>#REF!</v>
      </c>
      <c r="C691" s="87"/>
    </row>
    <row r="692" spans="1:3" ht="14.25" customHeight="1" x14ac:dyDescent="0.2">
      <c r="A692" s="82"/>
      <c r="B692" s="83" t="e">
        <f t="shared" si="1"/>
        <v>#REF!</v>
      </c>
      <c r="C692" s="87"/>
    </row>
    <row r="693" spans="1:3" ht="14.25" customHeight="1" x14ac:dyDescent="0.2">
      <c r="A693" s="82"/>
      <c r="B693" s="83" t="e">
        <f t="shared" si="1"/>
        <v>#REF!</v>
      </c>
      <c r="C693" s="87"/>
    </row>
    <row r="694" spans="1:3" ht="14.25" customHeight="1" x14ac:dyDescent="0.2">
      <c r="A694" s="82"/>
      <c r="B694" s="83" t="e">
        <f t="shared" si="1"/>
        <v>#REF!</v>
      </c>
      <c r="C694" s="87"/>
    </row>
    <row r="695" spans="1:3" ht="14.25" customHeight="1" x14ac:dyDescent="0.2">
      <c r="A695" s="82"/>
      <c r="B695" s="83" t="e">
        <f t="shared" si="1"/>
        <v>#REF!</v>
      </c>
      <c r="C695" s="87"/>
    </row>
    <row r="696" spans="1:3" ht="14.25" customHeight="1" x14ac:dyDescent="0.2">
      <c r="A696" s="82"/>
      <c r="B696" s="83" t="e">
        <f t="shared" si="1"/>
        <v>#REF!</v>
      </c>
      <c r="C696" s="87"/>
    </row>
    <row r="697" spans="1:3" ht="14.25" customHeight="1" x14ac:dyDescent="0.2">
      <c r="A697" s="82"/>
      <c r="B697" s="83" t="e">
        <f t="shared" si="1"/>
        <v>#REF!</v>
      </c>
      <c r="C697" s="87"/>
    </row>
    <row r="698" spans="1:3" ht="14.25" customHeight="1" x14ac:dyDescent="0.2">
      <c r="A698" s="82"/>
      <c r="B698" s="83" t="e">
        <f t="shared" si="1"/>
        <v>#REF!</v>
      </c>
      <c r="C698" s="87"/>
    </row>
    <row r="699" spans="1:3" ht="14.25" customHeight="1" x14ac:dyDescent="0.2">
      <c r="A699" s="82"/>
      <c r="B699" s="83" t="e">
        <f t="shared" si="1"/>
        <v>#REF!</v>
      </c>
      <c r="C699" s="87"/>
    </row>
    <row r="700" spans="1:3" ht="14.25" customHeight="1" x14ac:dyDescent="0.2">
      <c r="A700" s="82"/>
      <c r="B700" s="83" t="e">
        <f t="shared" si="1"/>
        <v>#REF!</v>
      </c>
      <c r="C700" s="87"/>
    </row>
    <row r="701" spans="1:3" ht="14.25" customHeight="1" x14ac:dyDescent="0.2">
      <c r="A701" s="82"/>
      <c r="B701" s="83" t="e">
        <f t="shared" si="1"/>
        <v>#REF!</v>
      </c>
      <c r="C701" s="87"/>
    </row>
    <row r="702" spans="1:3" ht="14.25" customHeight="1" x14ac:dyDescent="0.2">
      <c r="A702" s="82"/>
      <c r="B702" s="83" t="e">
        <f t="shared" si="1"/>
        <v>#REF!</v>
      </c>
      <c r="C702" s="87"/>
    </row>
    <row r="703" spans="1:3" ht="14.25" customHeight="1" x14ac:dyDescent="0.2">
      <c r="A703" s="82"/>
      <c r="B703" s="83" t="e">
        <f t="shared" si="1"/>
        <v>#REF!</v>
      </c>
      <c r="C703" s="87"/>
    </row>
    <row r="704" spans="1:3" ht="14.25" customHeight="1" x14ac:dyDescent="0.2">
      <c r="A704" s="82"/>
      <c r="B704" s="83" t="e">
        <f t="shared" si="1"/>
        <v>#REF!</v>
      </c>
      <c r="C704" s="87"/>
    </row>
    <row r="705" spans="1:3" ht="14.25" customHeight="1" x14ac:dyDescent="0.2">
      <c r="A705" s="82"/>
      <c r="B705" s="83" t="e">
        <f t="shared" si="1"/>
        <v>#REF!</v>
      </c>
      <c r="C705" s="87"/>
    </row>
    <row r="706" spans="1:3" ht="14.25" customHeight="1" x14ac:dyDescent="0.2">
      <c r="A706" s="82"/>
      <c r="B706" s="83" t="e">
        <f t="shared" si="1"/>
        <v>#REF!</v>
      </c>
      <c r="C706" s="87"/>
    </row>
    <row r="707" spans="1:3" ht="14.25" customHeight="1" x14ac:dyDescent="0.2">
      <c r="A707" s="82"/>
      <c r="B707" s="83" t="e">
        <f t="shared" si="1"/>
        <v>#REF!</v>
      </c>
      <c r="C707" s="87"/>
    </row>
    <row r="708" spans="1:3" ht="14.25" customHeight="1" x14ac:dyDescent="0.2">
      <c r="A708" s="82"/>
      <c r="B708" s="83" t="e">
        <f t="shared" si="1"/>
        <v>#REF!</v>
      </c>
      <c r="C708" s="87"/>
    </row>
    <row r="709" spans="1:3" ht="14.25" customHeight="1" x14ac:dyDescent="0.2">
      <c r="A709" s="82"/>
      <c r="B709" s="83" t="e">
        <f t="shared" si="1"/>
        <v>#REF!</v>
      </c>
      <c r="C709" s="87"/>
    </row>
    <row r="710" spans="1:3" ht="14.25" customHeight="1" x14ac:dyDescent="0.2">
      <c r="A710" s="82"/>
      <c r="B710" s="83" t="e">
        <f t="shared" si="1"/>
        <v>#REF!</v>
      </c>
      <c r="C710" s="87"/>
    </row>
    <row r="711" spans="1:3" ht="14.25" customHeight="1" x14ac:dyDescent="0.2">
      <c r="A711" s="82"/>
      <c r="B711" s="83" t="e">
        <f t="shared" si="1"/>
        <v>#REF!</v>
      </c>
      <c r="C711" s="87"/>
    </row>
    <row r="712" spans="1:3" ht="14.25" customHeight="1" x14ac:dyDescent="0.2">
      <c r="A712" s="82"/>
      <c r="B712" s="83" t="e">
        <f t="shared" si="1"/>
        <v>#REF!</v>
      </c>
      <c r="C712" s="87"/>
    </row>
    <row r="713" spans="1:3" ht="14.25" customHeight="1" x14ac:dyDescent="0.2">
      <c r="A713" s="82"/>
      <c r="B713" s="83" t="e">
        <f t="shared" si="1"/>
        <v>#REF!</v>
      </c>
      <c r="C713" s="87"/>
    </row>
    <row r="714" spans="1:3" ht="14.25" customHeight="1" x14ac:dyDescent="0.2">
      <c r="A714" s="82"/>
      <c r="B714" s="83" t="e">
        <f t="shared" si="1"/>
        <v>#REF!</v>
      </c>
      <c r="C714" s="87"/>
    </row>
    <row r="715" spans="1:3" ht="14.25" customHeight="1" x14ac:dyDescent="0.2">
      <c r="A715" s="82"/>
      <c r="B715" s="83" t="e">
        <f t="shared" si="1"/>
        <v>#REF!</v>
      </c>
      <c r="C715" s="87"/>
    </row>
    <row r="716" spans="1:3" ht="14.25" customHeight="1" x14ac:dyDescent="0.2">
      <c r="A716" s="82"/>
      <c r="B716" s="83" t="e">
        <f t="shared" si="1"/>
        <v>#REF!</v>
      </c>
      <c r="C716" s="87"/>
    </row>
    <row r="717" spans="1:3" ht="14.25" customHeight="1" x14ac:dyDescent="0.2">
      <c r="A717" s="82"/>
      <c r="B717" s="83" t="e">
        <f t="shared" si="1"/>
        <v>#REF!</v>
      </c>
      <c r="C717" s="87"/>
    </row>
    <row r="718" spans="1:3" ht="14.25" customHeight="1" x14ac:dyDescent="0.2">
      <c r="A718" s="82"/>
      <c r="B718" s="83" t="e">
        <f t="shared" si="1"/>
        <v>#REF!</v>
      </c>
      <c r="C718" s="87"/>
    </row>
    <row r="719" spans="1:3" ht="14.25" customHeight="1" x14ac:dyDescent="0.2">
      <c r="A719" s="82"/>
      <c r="B719" s="83" t="e">
        <f t="shared" si="1"/>
        <v>#REF!</v>
      </c>
      <c r="C719" s="87"/>
    </row>
    <row r="720" spans="1:3" ht="14.25" customHeight="1" x14ac:dyDescent="0.2">
      <c r="A720" s="82"/>
      <c r="B720" s="83" t="e">
        <f t="shared" si="1"/>
        <v>#REF!</v>
      </c>
      <c r="C720" s="87"/>
    </row>
    <row r="721" spans="1:3" ht="14.25" customHeight="1" x14ac:dyDescent="0.2">
      <c r="A721" s="82"/>
      <c r="B721" s="83" t="e">
        <f t="shared" si="1"/>
        <v>#REF!</v>
      </c>
      <c r="C721" s="87"/>
    </row>
    <row r="722" spans="1:3" ht="14.25" customHeight="1" x14ac:dyDescent="0.2">
      <c r="A722" s="82"/>
      <c r="B722" s="83" t="e">
        <f t="shared" si="1"/>
        <v>#REF!</v>
      </c>
      <c r="C722" s="87"/>
    </row>
    <row r="723" spans="1:3" ht="14.25" customHeight="1" x14ac:dyDescent="0.2">
      <c r="A723" s="82"/>
      <c r="B723" s="83" t="e">
        <f t="shared" si="1"/>
        <v>#REF!</v>
      </c>
      <c r="C723" s="87"/>
    </row>
    <row r="724" spans="1:3" ht="14.25" customHeight="1" x14ac:dyDescent="0.2">
      <c r="A724" s="82"/>
      <c r="B724" s="83" t="e">
        <f t="shared" si="1"/>
        <v>#REF!</v>
      </c>
      <c r="C724" s="87"/>
    </row>
    <row r="725" spans="1:3" ht="14.25" customHeight="1" x14ac:dyDescent="0.2">
      <c r="A725" s="82"/>
      <c r="B725" s="83" t="e">
        <f t="shared" si="1"/>
        <v>#REF!</v>
      </c>
      <c r="C725" s="87"/>
    </row>
    <row r="726" spans="1:3" ht="14.25" customHeight="1" x14ac:dyDescent="0.2">
      <c r="A726" s="82"/>
      <c r="B726" s="83" t="e">
        <f t="shared" si="1"/>
        <v>#REF!</v>
      </c>
      <c r="C726" s="87"/>
    </row>
    <row r="727" spans="1:3" ht="14.25" customHeight="1" x14ac:dyDescent="0.2">
      <c r="A727" s="82"/>
      <c r="B727" s="83" t="e">
        <f t="shared" si="1"/>
        <v>#REF!</v>
      </c>
      <c r="C727" s="87"/>
    </row>
    <row r="728" spans="1:3" ht="14.25" customHeight="1" x14ac:dyDescent="0.2">
      <c r="A728" s="82"/>
      <c r="B728" s="83" t="e">
        <f t="shared" si="1"/>
        <v>#REF!</v>
      </c>
      <c r="C728" s="87"/>
    </row>
    <row r="729" spans="1:3" ht="14.25" customHeight="1" x14ac:dyDescent="0.2">
      <c r="A729" s="82"/>
      <c r="B729" s="83" t="e">
        <f t="shared" si="1"/>
        <v>#REF!</v>
      </c>
      <c r="C729" s="87"/>
    </row>
    <row r="730" spans="1:3" ht="14.25" customHeight="1" x14ac:dyDescent="0.2">
      <c r="A730" s="82"/>
      <c r="B730" s="83" t="e">
        <f t="shared" si="1"/>
        <v>#REF!</v>
      </c>
      <c r="C730" s="87"/>
    </row>
    <row r="731" spans="1:3" ht="14.25" customHeight="1" x14ac:dyDescent="0.2">
      <c r="A731" s="82"/>
      <c r="B731" s="83" t="e">
        <f t="shared" si="1"/>
        <v>#REF!</v>
      </c>
      <c r="C731" s="87"/>
    </row>
    <row r="732" spans="1:3" ht="14.25" customHeight="1" x14ac:dyDescent="0.2">
      <c r="A732" s="82"/>
      <c r="B732" s="83" t="e">
        <f t="shared" si="1"/>
        <v>#REF!</v>
      </c>
      <c r="C732" s="87"/>
    </row>
    <row r="733" spans="1:3" ht="14.25" customHeight="1" x14ac:dyDescent="0.2">
      <c r="A733" s="82"/>
      <c r="B733" s="83" t="e">
        <f t="shared" si="1"/>
        <v>#REF!</v>
      </c>
      <c r="C733" s="87"/>
    </row>
    <row r="734" spans="1:3" ht="14.25" customHeight="1" x14ac:dyDescent="0.2">
      <c r="A734" s="82"/>
      <c r="B734" s="83" t="e">
        <f t="shared" si="1"/>
        <v>#REF!</v>
      </c>
      <c r="C734" s="87"/>
    </row>
    <row r="735" spans="1:3" ht="14.25" customHeight="1" x14ac:dyDescent="0.2">
      <c r="A735" s="82"/>
      <c r="B735" s="83" t="e">
        <f t="shared" si="1"/>
        <v>#REF!</v>
      </c>
      <c r="C735" s="87"/>
    </row>
    <row r="736" spans="1:3" ht="14.25" customHeight="1" x14ac:dyDescent="0.2">
      <c r="A736" s="82"/>
      <c r="B736" s="83" t="e">
        <f t="shared" si="1"/>
        <v>#REF!</v>
      </c>
      <c r="C736" s="87"/>
    </row>
    <row r="737" spans="1:3" ht="14.25" customHeight="1" x14ac:dyDescent="0.2">
      <c r="A737" s="82"/>
      <c r="B737" s="83" t="e">
        <f t="shared" si="1"/>
        <v>#REF!</v>
      </c>
      <c r="C737" s="87"/>
    </row>
    <row r="738" spans="1:3" ht="14.25" customHeight="1" x14ac:dyDescent="0.2">
      <c r="A738" s="82"/>
      <c r="B738" s="83" t="e">
        <f t="shared" si="1"/>
        <v>#REF!</v>
      </c>
      <c r="C738" s="87"/>
    </row>
    <row r="739" spans="1:3" ht="14.25" customHeight="1" x14ac:dyDescent="0.2">
      <c r="A739" s="82"/>
      <c r="B739" s="83" t="e">
        <f t="shared" si="1"/>
        <v>#REF!</v>
      </c>
      <c r="C739" s="87"/>
    </row>
    <row r="740" spans="1:3" ht="14.25" customHeight="1" x14ac:dyDescent="0.2">
      <c r="A740" s="82"/>
      <c r="B740" s="83" t="e">
        <f t="shared" si="1"/>
        <v>#REF!</v>
      </c>
      <c r="C740" s="87"/>
    </row>
    <row r="741" spans="1:3" ht="14.25" customHeight="1" x14ac:dyDescent="0.2">
      <c r="A741" s="82"/>
      <c r="B741" s="83" t="e">
        <f t="shared" si="1"/>
        <v>#REF!</v>
      </c>
      <c r="C741" s="87"/>
    </row>
    <row r="742" spans="1:3" ht="14.25" customHeight="1" x14ac:dyDescent="0.2">
      <c r="A742" s="82"/>
      <c r="B742" s="83" t="e">
        <f t="shared" si="1"/>
        <v>#REF!</v>
      </c>
      <c r="C742" s="87"/>
    </row>
    <row r="743" spans="1:3" ht="14.25" customHeight="1" x14ac:dyDescent="0.2">
      <c r="A743" s="82"/>
      <c r="B743" s="83" t="e">
        <f t="shared" si="1"/>
        <v>#REF!</v>
      </c>
      <c r="C743" s="87"/>
    </row>
    <row r="744" spans="1:3" ht="14.25" customHeight="1" x14ac:dyDescent="0.2">
      <c r="A744" s="82"/>
      <c r="B744" s="83" t="e">
        <f t="shared" si="1"/>
        <v>#REF!</v>
      </c>
      <c r="C744" s="87"/>
    </row>
    <row r="745" spans="1:3" ht="14.25" customHeight="1" x14ac:dyDescent="0.2">
      <c r="A745" s="82"/>
      <c r="B745" s="83" t="e">
        <f t="shared" si="1"/>
        <v>#REF!</v>
      </c>
      <c r="C745" s="87"/>
    </row>
    <row r="746" spans="1:3" ht="14.25" customHeight="1" x14ac:dyDescent="0.2">
      <c r="A746" s="82"/>
      <c r="B746" s="83" t="e">
        <f t="shared" si="1"/>
        <v>#REF!</v>
      </c>
      <c r="C746" s="87"/>
    </row>
    <row r="747" spans="1:3" ht="14.25" customHeight="1" x14ac:dyDescent="0.2">
      <c r="A747" s="82"/>
      <c r="B747" s="83" t="e">
        <f t="shared" ref="B747:B801" si="2">IF(#REF!="credit",#REF!, (#REF!* -1))</f>
        <v>#REF!</v>
      </c>
      <c r="C747" s="87"/>
    </row>
    <row r="748" spans="1:3" ht="14.25" customHeight="1" x14ac:dyDescent="0.2">
      <c r="A748" s="82"/>
      <c r="B748" s="83" t="e">
        <f t="shared" si="2"/>
        <v>#REF!</v>
      </c>
      <c r="C748" s="87"/>
    </row>
    <row r="749" spans="1:3" ht="14.25" customHeight="1" x14ac:dyDescent="0.2">
      <c r="A749" s="82"/>
      <c r="B749" s="83" t="e">
        <f t="shared" si="2"/>
        <v>#REF!</v>
      </c>
      <c r="C749" s="87"/>
    </row>
    <row r="750" spans="1:3" ht="14.25" customHeight="1" x14ac:dyDescent="0.2">
      <c r="A750" s="82"/>
      <c r="B750" s="83" t="e">
        <f t="shared" si="2"/>
        <v>#REF!</v>
      </c>
      <c r="C750" s="87"/>
    </row>
    <row r="751" spans="1:3" ht="14.25" customHeight="1" x14ac:dyDescent="0.2">
      <c r="A751" s="82"/>
      <c r="B751" s="83" t="e">
        <f t="shared" si="2"/>
        <v>#REF!</v>
      </c>
      <c r="C751" s="87"/>
    </row>
    <row r="752" spans="1:3" ht="14.25" customHeight="1" x14ac:dyDescent="0.2">
      <c r="A752" s="82"/>
      <c r="B752" s="83" t="e">
        <f t="shared" si="2"/>
        <v>#REF!</v>
      </c>
      <c r="C752" s="87"/>
    </row>
    <row r="753" spans="1:3" ht="14.25" customHeight="1" x14ac:dyDescent="0.2">
      <c r="A753" s="82"/>
      <c r="B753" s="83" t="e">
        <f t="shared" si="2"/>
        <v>#REF!</v>
      </c>
      <c r="C753" s="87"/>
    </row>
    <row r="754" spans="1:3" ht="14.25" customHeight="1" x14ac:dyDescent="0.2">
      <c r="A754" s="82"/>
      <c r="B754" s="83" t="e">
        <f t="shared" si="2"/>
        <v>#REF!</v>
      </c>
      <c r="C754" s="87"/>
    </row>
    <row r="755" spans="1:3" ht="14.25" customHeight="1" x14ac:dyDescent="0.2">
      <c r="A755" s="82"/>
      <c r="B755" s="83" t="e">
        <f t="shared" si="2"/>
        <v>#REF!</v>
      </c>
      <c r="C755" s="87"/>
    </row>
    <row r="756" spans="1:3" ht="14.25" customHeight="1" x14ac:dyDescent="0.2">
      <c r="A756" s="82"/>
      <c r="B756" s="83" t="e">
        <f t="shared" si="2"/>
        <v>#REF!</v>
      </c>
      <c r="C756" s="87"/>
    </row>
    <row r="757" spans="1:3" ht="14.25" customHeight="1" x14ac:dyDescent="0.2">
      <c r="A757" s="82"/>
      <c r="B757" s="83" t="e">
        <f t="shared" si="2"/>
        <v>#REF!</v>
      </c>
      <c r="C757" s="87"/>
    </row>
    <row r="758" spans="1:3" ht="14.25" customHeight="1" x14ac:dyDescent="0.2">
      <c r="A758" s="82"/>
      <c r="B758" s="83" t="e">
        <f t="shared" si="2"/>
        <v>#REF!</v>
      </c>
      <c r="C758" s="87"/>
    </row>
    <row r="759" spans="1:3" ht="14.25" customHeight="1" x14ac:dyDescent="0.2">
      <c r="A759" s="82"/>
      <c r="B759" s="83" t="e">
        <f t="shared" si="2"/>
        <v>#REF!</v>
      </c>
      <c r="C759" s="87"/>
    </row>
    <row r="760" spans="1:3" ht="14.25" customHeight="1" x14ac:dyDescent="0.2">
      <c r="A760" s="82"/>
      <c r="B760" s="83" t="e">
        <f t="shared" si="2"/>
        <v>#REF!</v>
      </c>
      <c r="C760" s="87"/>
    </row>
    <row r="761" spans="1:3" ht="14.25" customHeight="1" x14ac:dyDescent="0.2">
      <c r="A761" s="82"/>
      <c r="B761" s="83" t="e">
        <f t="shared" si="2"/>
        <v>#REF!</v>
      </c>
      <c r="C761" s="87"/>
    </row>
    <row r="762" spans="1:3" ht="14.25" customHeight="1" x14ac:dyDescent="0.2">
      <c r="A762" s="82"/>
      <c r="B762" s="83" t="e">
        <f t="shared" si="2"/>
        <v>#REF!</v>
      </c>
      <c r="C762" s="87"/>
    </row>
    <row r="763" spans="1:3" ht="14.25" customHeight="1" x14ac:dyDescent="0.2">
      <c r="A763" s="82"/>
      <c r="B763" s="83" t="e">
        <f t="shared" si="2"/>
        <v>#REF!</v>
      </c>
      <c r="C763" s="87"/>
    </row>
    <row r="764" spans="1:3" ht="14.25" customHeight="1" x14ac:dyDescent="0.2">
      <c r="A764" s="82"/>
      <c r="B764" s="83" t="e">
        <f t="shared" si="2"/>
        <v>#REF!</v>
      </c>
      <c r="C764" s="87"/>
    </row>
    <row r="765" spans="1:3" ht="14.25" customHeight="1" x14ac:dyDescent="0.2">
      <c r="A765" s="82"/>
      <c r="B765" s="83" t="e">
        <f t="shared" si="2"/>
        <v>#REF!</v>
      </c>
      <c r="C765" s="87"/>
    </row>
    <row r="766" spans="1:3" ht="14.25" customHeight="1" x14ac:dyDescent="0.2">
      <c r="A766" s="82"/>
      <c r="B766" s="83" t="e">
        <f t="shared" si="2"/>
        <v>#REF!</v>
      </c>
      <c r="C766" s="87"/>
    </row>
    <row r="767" spans="1:3" ht="14.25" customHeight="1" x14ac:dyDescent="0.2">
      <c r="A767" s="82"/>
      <c r="B767" s="83" t="e">
        <f t="shared" si="2"/>
        <v>#REF!</v>
      </c>
      <c r="C767" s="87"/>
    </row>
    <row r="768" spans="1:3" ht="14.25" customHeight="1" x14ac:dyDescent="0.2">
      <c r="A768" s="82"/>
      <c r="B768" s="83" t="e">
        <f t="shared" si="2"/>
        <v>#REF!</v>
      </c>
      <c r="C768" s="87"/>
    </row>
    <row r="769" spans="1:3" ht="14.25" customHeight="1" x14ac:dyDescent="0.2">
      <c r="A769" s="82"/>
      <c r="B769" s="83" t="e">
        <f t="shared" si="2"/>
        <v>#REF!</v>
      </c>
      <c r="C769" s="87"/>
    </row>
    <row r="770" spans="1:3" ht="14.25" customHeight="1" x14ac:dyDescent="0.2">
      <c r="A770" s="82"/>
      <c r="B770" s="83" t="e">
        <f t="shared" si="2"/>
        <v>#REF!</v>
      </c>
      <c r="C770" s="87"/>
    </row>
    <row r="771" spans="1:3" ht="14.25" customHeight="1" x14ac:dyDescent="0.2">
      <c r="A771" s="82"/>
      <c r="B771" s="83" t="e">
        <f t="shared" si="2"/>
        <v>#REF!</v>
      </c>
      <c r="C771" s="87"/>
    </row>
    <row r="772" spans="1:3" ht="14.25" customHeight="1" x14ac:dyDescent="0.2">
      <c r="A772" s="82"/>
      <c r="B772" s="83" t="e">
        <f t="shared" si="2"/>
        <v>#REF!</v>
      </c>
      <c r="C772" s="87"/>
    </row>
    <row r="773" spans="1:3" ht="14.25" customHeight="1" x14ac:dyDescent="0.2">
      <c r="A773" s="82"/>
      <c r="B773" s="83" t="e">
        <f t="shared" si="2"/>
        <v>#REF!</v>
      </c>
      <c r="C773" s="87"/>
    </row>
    <row r="774" spans="1:3" ht="14.25" customHeight="1" x14ac:dyDescent="0.2">
      <c r="A774" s="82"/>
      <c r="B774" s="83" t="e">
        <f t="shared" si="2"/>
        <v>#REF!</v>
      </c>
      <c r="C774" s="87"/>
    </row>
    <row r="775" spans="1:3" ht="14.25" customHeight="1" x14ac:dyDescent="0.2">
      <c r="A775" s="82"/>
      <c r="B775" s="83" t="e">
        <f t="shared" si="2"/>
        <v>#REF!</v>
      </c>
      <c r="C775" s="87"/>
    </row>
    <row r="776" spans="1:3" ht="14.25" customHeight="1" x14ac:dyDescent="0.2">
      <c r="A776" s="82"/>
      <c r="B776" s="83" t="e">
        <f t="shared" si="2"/>
        <v>#REF!</v>
      </c>
      <c r="C776" s="87"/>
    </row>
    <row r="777" spans="1:3" ht="14.25" customHeight="1" x14ac:dyDescent="0.2">
      <c r="A777" s="82"/>
      <c r="B777" s="83" t="e">
        <f t="shared" si="2"/>
        <v>#REF!</v>
      </c>
      <c r="C777" s="87"/>
    </row>
    <row r="778" spans="1:3" ht="14.25" customHeight="1" x14ac:dyDescent="0.2">
      <c r="A778" s="82"/>
      <c r="B778" s="83" t="e">
        <f t="shared" si="2"/>
        <v>#REF!</v>
      </c>
      <c r="C778" s="87"/>
    </row>
    <row r="779" spans="1:3" ht="14.25" customHeight="1" x14ac:dyDescent="0.2">
      <c r="A779" s="82"/>
      <c r="B779" s="83" t="e">
        <f t="shared" si="2"/>
        <v>#REF!</v>
      </c>
      <c r="C779" s="87"/>
    </row>
    <row r="780" spans="1:3" ht="14.25" customHeight="1" x14ac:dyDescent="0.2">
      <c r="A780" s="82"/>
      <c r="B780" s="83" t="e">
        <f t="shared" si="2"/>
        <v>#REF!</v>
      </c>
      <c r="C780" s="87"/>
    </row>
    <row r="781" spans="1:3" ht="14.25" customHeight="1" x14ac:dyDescent="0.2">
      <c r="A781" s="82"/>
      <c r="B781" s="83" t="e">
        <f t="shared" si="2"/>
        <v>#REF!</v>
      </c>
      <c r="C781" s="87"/>
    </row>
    <row r="782" spans="1:3" ht="14.25" customHeight="1" x14ac:dyDescent="0.2">
      <c r="A782" s="82"/>
      <c r="B782" s="83" t="e">
        <f t="shared" si="2"/>
        <v>#REF!</v>
      </c>
      <c r="C782" s="87"/>
    </row>
    <row r="783" spans="1:3" ht="14.25" customHeight="1" x14ac:dyDescent="0.2">
      <c r="A783" s="82"/>
      <c r="B783" s="83" t="e">
        <f t="shared" si="2"/>
        <v>#REF!</v>
      </c>
      <c r="C783" s="87"/>
    </row>
    <row r="784" spans="1:3" ht="14.25" customHeight="1" x14ac:dyDescent="0.2">
      <c r="A784" s="82"/>
      <c r="B784" s="83" t="e">
        <f t="shared" si="2"/>
        <v>#REF!</v>
      </c>
      <c r="C784" s="87"/>
    </row>
    <row r="785" spans="1:3" ht="14.25" customHeight="1" x14ac:dyDescent="0.2">
      <c r="A785" s="82"/>
      <c r="B785" s="83" t="e">
        <f t="shared" si="2"/>
        <v>#REF!</v>
      </c>
      <c r="C785" s="87"/>
    </row>
    <row r="786" spans="1:3" ht="14.25" customHeight="1" x14ac:dyDescent="0.2">
      <c r="A786" s="82"/>
      <c r="B786" s="83" t="e">
        <f t="shared" si="2"/>
        <v>#REF!</v>
      </c>
      <c r="C786" s="87"/>
    </row>
    <row r="787" spans="1:3" ht="14.25" customHeight="1" x14ac:dyDescent="0.2">
      <c r="A787" s="82"/>
      <c r="B787" s="83" t="e">
        <f t="shared" si="2"/>
        <v>#REF!</v>
      </c>
      <c r="C787" s="87"/>
    </row>
    <row r="788" spans="1:3" ht="14.25" customHeight="1" x14ac:dyDescent="0.2">
      <c r="A788" s="82"/>
      <c r="B788" s="83" t="e">
        <f t="shared" si="2"/>
        <v>#REF!</v>
      </c>
      <c r="C788" s="87"/>
    </row>
    <row r="789" spans="1:3" ht="14.25" customHeight="1" x14ac:dyDescent="0.2">
      <c r="A789" s="82"/>
      <c r="B789" s="83" t="e">
        <f t="shared" si="2"/>
        <v>#REF!</v>
      </c>
      <c r="C789" s="87"/>
    </row>
    <row r="790" spans="1:3" ht="14.25" customHeight="1" x14ac:dyDescent="0.2">
      <c r="A790" s="82"/>
      <c r="B790" s="83" t="e">
        <f t="shared" si="2"/>
        <v>#REF!</v>
      </c>
      <c r="C790" s="87"/>
    </row>
    <row r="791" spans="1:3" ht="14.25" customHeight="1" x14ac:dyDescent="0.2">
      <c r="A791" s="82"/>
      <c r="B791" s="83" t="e">
        <f t="shared" si="2"/>
        <v>#REF!</v>
      </c>
      <c r="C791" s="87"/>
    </row>
    <row r="792" spans="1:3" ht="14.25" customHeight="1" x14ac:dyDescent="0.2">
      <c r="A792" s="82"/>
      <c r="B792" s="83" t="e">
        <f t="shared" si="2"/>
        <v>#REF!</v>
      </c>
      <c r="C792" s="87"/>
    </row>
    <row r="793" spans="1:3" ht="14.25" customHeight="1" x14ac:dyDescent="0.2">
      <c r="A793" s="82"/>
      <c r="B793" s="83" t="e">
        <f t="shared" si="2"/>
        <v>#REF!</v>
      </c>
      <c r="C793" s="87"/>
    </row>
    <row r="794" spans="1:3" ht="14.25" customHeight="1" x14ac:dyDescent="0.2">
      <c r="A794" s="82"/>
      <c r="B794" s="83" t="e">
        <f t="shared" si="2"/>
        <v>#REF!</v>
      </c>
      <c r="C794" s="87"/>
    </row>
    <row r="795" spans="1:3" ht="14.25" customHeight="1" x14ac:dyDescent="0.2">
      <c r="A795" s="82"/>
      <c r="B795" s="83" t="e">
        <f t="shared" si="2"/>
        <v>#REF!</v>
      </c>
      <c r="C795" s="87"/>
    </row>
    <row r="796" spans="1:3" ht="14.25" customHeight="1" x14ac:dyDescent="0.2">
      <c r="A796" s="82"/>
      <c r="B796" s="83" t="e">
        <f t="shared" si="2"/>
        <v>#REF!</v>
      </c>
      <c r="C796" s="87"/>
    </row>
    <row r="797" spans="1:3" ht="14.25" customHeight="1" x14ac:dyDescent="0.2">
      <c r="A797" s="82"/>
      <c r="B797" s="83" t="e">
        <f t="shared" si="2"/>
        <v>#REF!</v>
      </c>
      <c r="C797" s="87"/>
    </row>
    <row r="798" spans="1:3" ht="14.25" customHeight="1" x14ac:dyDescent="0.2">
      <c r="A798" s="82"/>
      <c r="B798" s="83" t="e">
        <f t="shared" si="2"/>
        <v>#REF!</v>
      </c>
      <c r="C798" s="87"/>
    </row>
    <row r="799" spans="1:3" ht="14.25" customHeight="1" x14ac:dyDescent="0.2">
      <c r="A799" s="82"/>
      <c r="B799" s="83" t="e">
        <f t="shared" si="2"/>
        <v>#REF!</v>
      </c>
      <c r="C799" s="87"/>
    </row>
    <row r="800" spans="1:3" ht="14.25" customHeight="1" x14ac:dyDescent="0.2">
      <c r="A800" s="82"/>
      <c r="B800" s="83" t="e">
        <f t="shared" si="2"/>
        <v>#REF!</v>
      </c>
      <c r="C800" s="87"/>
    </row>
    <row r="801" spans="1:3" ht="14.25" customHeight="1" x14ac:dyDescent="0.2">
      <c r="A801" s="82"/>
      <c r="B801" s="83" t="e">
        <f t="shared" si="2"/>
        <v>#REF!</v>
      </c>
      <c r="C801" s="87"/>
    </row>
    <row r="802" spans="1:3" ht="14.25" customHeight="1" x14ac:dyDescent="0.2">
      <c r="A802" s="82"/>
      <c r="C802" s="87"/>
    </row>
    <row r="803" spans="1:3" ht="14.25" customHeight="1" x14ac:dyDescent="0.2">
      <c r="A803" s="82"/>
      <c r="C803" s="87"/>
    </row>
    <row r="804" spans="1:3" ht="14.25" customHeight="1" x14ac:dyDescent="0.2">
      <c r="A804" s="82"/>
      <c r="C804" s="87"/>
    </row>
    <row r="805" spans="1:3" ht="14.25" customHeight="1" x14ac:dyDescent="0.2">
      <c r="A805" s="82"/>
      <c r="C805" s="87"/>
    </row>
    <row r="806" spans="1:3" ht="14.25" customHeight="1" x14ac:dyDescent="0.2">
      <c r="A806" s="82"/>
      <c r="C806" s="87"/>
    </row>
    <row r="807" spans="1:3" ht="14.25" customHeight="1" x14ac:dyDescent="0.2">
      <c r="A807" s="82"/>
      <c r="C807" s="87"/>
    </row>
    <row r="808" spans="1:3" ht="14.25" customHeight="1" x14ac:dyDescent="0.2">
      <c r="A808" s="82"/>
      <c r="C808" s="87"/>
    </row>
    <row r="809" spans="1:3" ht="14.25" customHeight="1" x14ac:dyDescent="0.2">
      <c r="A809" s="82"/>
      <c r="C809" s="87"/>
    </row>
    <row r="810" spans="1:3" ht="14.25" customHeight="1" x14ac:dyDescent="0.2">
      <c r="A810" s="82"/>
      <c r="C810" s="87"/>
    </row>
    <row r="811" spans="1:3" ht="14.25" customHeight="1" x14ac:dyDescent="0.2">
      <c r="A811" s="82"/>
      <c r="C811" s="87"/>
    </row>
    <row r="812" spans="1:3" ht="14.25" customHeight="1" x14ac:dyDescent="0.2">
      <c r="A812" s="82"/>
      <c r="C812" s="87"/>
    </row>
    <row r="813" spans="1:3" ht="14.25" customHeight="1" x14ac:dyDescent="0.2">
      <c r="A813" s="82"/>
      <c r="C813" s="87"/>
    </row>
    <row r="814" spans="1:3" ht="14.25" customHeight="1" x14ac:dyDescent="0.2">
      <c r="A814" s="82"/>
      <c r="C814" s="87"/>
    </row>
    <row r="815" spans="1:3" ht="14.25" customHeight="1" x14ac:dyDescent="0.2">
      <c r="A815" s="82"/>
      <c r="C815" s="87"/>
    </row>
    <row r="816" spans="1:3" ht="14.25" customHeight="1" x14ac:dyDescent="0.2">
      <c r="A816" s="82"/>
      <c r="C816" s="87"/>
    </row>
    <row r="817" spans="1:3" ht="14.25" customHeight="1" x14ac:dyDescent="0.2">
      <c r="A817" s="82"/>
      <c r="C817" s="87"/>
    </row>
    <row r="818" spans="1:3" ht="14.25" customHeight="1" x14ac:dyDescent="0.2">
      <c r="A818" s="82"/>
      <c r="C818" s="87"/>
    </row>
    <row r="819" spans="1:3" ht="14.25" customHeight="1" x14ac:dyDescent="0.2">
      <c r="A819" s="82"/>
      <c r="C819" s="87"/>
    </row>
    <row r="820" spans="1:3" ht="14.25" customHeight="1" x14ac:dyDescent="0.2">
      <c r="A820" s="82"/>
      <c r="C820" s="87"/>
    </row>
    <row r="821" spans="1:3" ht="14.25" customHeight="1" x14ac:dyDescent="0.2">
      <c r="A821" s="82"/>
      <c r="C821" s="87"/>
    </row>
    <row r="822" spans="1:3" ht="14.25" customHeight="1" x14ac:dyDescent="0.2">
      <c r="A822" s="82"/>
      <c r="C822" s="87"/>
    </row>
    <row r="823" spans="1:3" ht="14.25" customHeight="1" x14ac:dyDescent="0.2">
      <c r="A823" s="82"/>
      <c r="C823" s="87"/>
    </row>
    <row r="824" spans="1:3" ht="14.25" customHeight="1" x14ac:dyDescent="0.2">
      <c r="A824" s="82"/>
      <c r="C824" s="87"/>
    </row>
    <row r="825" spans="1:3" ht="14.25" customHeight="1" x14ac:dyDescent="0.2">
      <c r="A825" s="82"/>
      <c r="C825" s="87"/>
    </row>
    <row r="826" spans="1:3" ht="14.25" customHeight="1" x14ac:dyDescent="0.2">
      <c r="A826" s="82"/>
      <c r="C826" s="87"/>
    </row>
    <row r="827" spans="1:3" ht="14.25" customHeight="1" x14ac:dyDescent="0.2">
      <c r="A827" s="82"/>
      <c r="C827" s="87"/>
    </row>
    <row r="828" spans="1:3" ht="14.25" customHeight="1" x14ac:dyDescent="0.2">
      <c r="A828" s="82"/>
      <c r="C828" s="87"/>
    </row>
    <row r="829" spans="1:3" ht="14.25" customHeight="1" x14ac:dyDescent="0.2">
      <c r="A829" s="82"/>
      <c r="C829" s="87"/>
    </row>
    <row r="830" spans="1:3" ht="14.25" customHeight="1" x14ac:dyDescent="0.2">
      <c r="A830" s="82"/>
      <c r="C830" s="87"/>
    </row>
    <row r="831" spans="1:3" ht="14.25" customHeight="1" x14ac:dyDescent="0.2">
      <c r="A831" s="82"/>
      <c r="C831" s="87"/>
    </row>
    <row r="832" spans="1:3" ht="14.25" customHeight="1" x14ac:dyDescent="0.2">
      <c r="A832" s="82"/>
      <c r="C832" s="87"/>
    </row>
    <row r="833" spans="1:3" ht="14.25" customHeight="1" x14ac:dyDescent="0.2">
      <c r="A833" s="82"/>
      <c r="C833" s="87"/>
    </row>
    <row r="834" spans="1:3" ht="14.25" customHeight="1" x14ac:dyDescent="0.2">
      <c r="A834" s="82"/>
      <c r="C834" s="87"/>
    </row>
    <row r="835" spans="1:3" ht="14.25" customHeight="1" x14ac:dyDescent="0.2">
      <c r="A835" s="82"/>
      <c r="C835" s="87"/>
    </row>
    <row r="836" spans="1:3" ht="14.25" customHeight="1" x14ac:dyDescent="0.2">
      <c r="A836" s="82"/>
      <c r="C836" s="87"/>
    </row>
    <row r="837" spans="1:3" ht="14.25" customHeight="1" x14ac:dyDescent="0.2">
      <c r="A837" s="82"/>
      <c r="C837" s="87"/>
    </row>
    <row r="838" spans="1:3" ht="14.25" customHeight="1" x14ac:dyDescent="0.2">
      <c r="A838" s="82"/>
      <c r="C838" s="87"/>
    </row>
    <row r="839" spans="1:3" ht="14.25" customHeight="1" x14ac:dyDescent="0.2">
      <c r="A839" s="82"/>
      <c r="C839" s="87"/>
    </row>
    <row r="840" spans="1:3" ht="14.25" customHeight="1" x14ac:dyDescent="0.2">
      <c r="A840" s="82"/>
      <c r="C840" s="87"/>
    </row>
    <row r="841" spans="1:3" ht="14.25" customHeight="1" x14ac:dyDescent="0.2">
      <c r="A841" s="82"/>
      <c r="C841" s="87"/>
    </row>
    <row r="842" spans="1:3" ht="14.25" customHeight="1" x14ac:dyDescent="0.2">
      <c r="A842" s="82"/>
      <c r="C842" s="87"/>
    </row>
    <row r="843" spans="1:3" ht="14.25" customHeight="1" x14ac:dyDescent="0.2">
      <c r="A843" s="82"/>
      <c r="C843" s="87"/>
    </row>
    <row r="844" spans="1:3" ht="14.25" customHeight="1" x14ac:dyDescent="0.2">
      <c r="A844" s="82"/>
      <c r="C844" s="87"/>
    </row>
    <row r="845" spans="1:3" ht="14.25" customHeight="1" x14ac:dyDescent="0.2">
      <c r="A845" s="82"/>
      <c r="C845" s="87"/>
    </row>
    <row r="846" spans="1:3" ht="14.25" customHeight="1" x14ac:dyDescent="0.2">
      <c r="A846" s="82"/>
      <c r="C846" s="87"/>
    </row>
    <row r="847" spans="1:3" ht="14.25" customHeight="1" x14ac:dyDescent="0.2">
      <c r="A847" s="82"/>
      <c r="C847" s="87"/>
    </row>
    <row r="848" spans="1:3" ht="14.25" customHeight="1" x14ac:dyDescent="0.2">
      <c r="A848" s="82"/>
      <c r="C848" s="87"/>
    </row>
    <row r="849" spans="1:3" ht="14.25" customHeight="1" x14ac:dyDescent="0.2">
      <c r="A849" s="82"/>
      <c r="C849" s="87"/>
    </row>
    <row r="850" spans="1:3" ht="14.25" customHeight="1" x14ac:dyDescent="0.2">
      <c r="A850" s="82"/>
      <c r="C850" s="87"/>
    </row>
    <row r="851" spans="1:3" ht="14.25" customHeight="1" x14ac:dyDescent="0.2">
      <c r="A851" s="82"/>
      <c r="C851" s="87"/>
    </row>
    <row r="852" spans="1:3" ht="14.25" customHeight="1" x14ac:dyDescent="0.2">
      <c r="A852" s="82"/>
      <c r="C852" s="87"/>
    </row>
    <row r="853" spans="1:3" ht="14.25" customHeight="1" x14ac:dyDescent="0.2">
      <c r="A853" s="82"/>
      <c r="C853" s="87"/>
    </row>
    <row r="854" spans="1:3" ht="14.25" customHeight="1" x14ac:dyDescent="0.2">
      <c r="A854" s="82"/>
      <c r="C854" s="87"/>
    </row>
    <row r="855" spans="1:3" ht="14.25" customHeight="1" x14ac:dyDescent="0.2">
      <c r="A855" s="82"/>
      <c r="C855" s="87"/>
    </row>
    <row r="856" spans="1:3" ht="14.25" customHeight="1" x14ac:dyDescent="0.2">
      <c r="A856" s="82"/>
      <c r="C856" s="87"/>
    </row>
    <row r="857" spans="1:3" ht="14.25" customHeight="1" x14ac:dyDescent="0.2">
      <c r="A857" s="82"/>
      <c r="C857" s="87"/>
    </row>
    <row r="858" spans="1:3" ht="14.25" customHeight="1" x14ac:dyDescent="0.2">
      <c r="A858" s="82"/>
      <c r="C858" s="87"/>
    </row>
    <row r="859" spans="1:3" ht="14.25" customHeight="1" x14ac:dyDescent="0.2">
      <c r="A859" s="82"/>
      <c r="C859" s="87"/>
    </row>
    <row r="860" spans="1:3" ht="14.25" customHeight="1" x14ac:dyDescent="0.2">
      <c r="A860" s="82"/>
      <c r="C860" s="87"/>
    </row>
    <row r="861" spans="1:3" ht="14.25" customHeight="1" x14ac:dyDescent="0.2">
      <c r="A861" s="82"/>
      <c r="C861" s="87"/>
    </row>
    <row r="862" spans="1:3" ht="14.25" customHeight="1" x14ac:dyDescent="0.2">
      <c r="A862" s="82"/>
      <c r="C862" s="87"/>
    </row>
    <row r="863" spans="1:3" ht="14.25" customHeight="1" x14ac:dyDescent="0.2">
      <c r="A863" s="82"/>
      <c r="C863" s="87"/>
    </row>
    <row r="864" spans="1:3" ht="14.25" customHeight="1" x14ac:dyDescent="0.2">
      <c r="A864" s="82"/>
      <c r="C864" s="87"/>
    </row>
    <row r="865" spans="1:3" ht="14.25" customHeight="1" x14ac:dyDescent="0.2">
      <c r="A865" s="82"/>
      <c r="C865" s="87"/>
    </row>
    <row r="866" spans="1:3" ht="14.25" customHeight="1" x14ac:dyDescent="0.2">
      <c r="A866" s="82"/>
      <c r="C866" s="87"/>
    </row>
    <row r="867" spans="1:3" ht="14.25" customHeight="1" x14ac:dyDescent="0.2">
      <c r="A867" s="82"/>
      <c r="C867" s="87"/>
    </row>
    <row r="868" spans="1:3" ht="14.25" customHeight="1" x14ac:dyDescent="0.2">
      <c r="A868" s="82"/>
      <c r="C868" s="87"/>
    </row>
    <row r="869" spans="1:3" ht="14.25" customHeight="1" x14ac:dyDescent="0.2">
      <c r="A869" s="82"/>
      <c r="C869" s="87"/>
    </row>
    <row r="870" spans="1:3" ht="14.25" customHeight="1" x14ac:dyDescent="0.2">
      <c r="A870" s="82"/>
      <c r="C870" s="87"/>
    </row>
    <row r="871" spans="1:3" ht="14.25" customHeight="1" x14ac:dyDescent="0.2">
      <c r="A871" s="82"/>
      <c r="C871" s="87"/>
    </row>
    <row r="872" spans="1:3" ht="14.25" customHeight="1" x14ac:dyDescent="0.2">
      <c r="A872" s="82"/>
      <c r="C872" s="87"/>
    </row>
    <row r="873" spans="1:3" ht="14.25" customHeight="1" x14ac:dyDescent="0.2">
      <c r="A873" s="82"/>
      <c r="C873" s="87"/>
    </row>
    <row r="874" spans="1:3" ht="14.25" customHeight="1" x14ac:dyDescent="0.2">
      <c r="A874" s="82"/>
      <c r="C874" s="87"/>
    </row>
    <row r="875" spans="1:3" ht="14.25" customHeight="1" x14ac:dyDescent="0.2">
      <c r="A875" s="82"/>
      <c r="C875" s="87"/>
    </row>
    <row r="876" spans="1:3" ht="14.25" customHeight="1" x14ac:dyDescent="0.2">
      <c r="A876" s="82"/>
      <c r="C876" s="87"/>
    </row>
    <row r="877" spans="1:3" ht="14.25" customHeight="1" x14ac:dyDescent="0.2">
      <c r="A877" s="82"/>
      <c r="C877" s="87"/>
    </row>
    <row r="878" spans="1:3" ht="14.25" customHeight="1" x14ac:dyDescent="0.2">
      <c r="A878" s="82"/>
      <c r="C878" s="87"/>
    </row>
    <row r="879" spans="1:3" ht="14.25" customHeight="1" x14ac:dyDescent="0.2">
      <c r="A879" s="82"/>
      <c r="C879" s="87"/>
    </row>
    <row r="880" spans="1:3" ht="14.25" customHeight="1" x14ac:dyDescent="0.2">
      <c r="A880" s="82"/>
      <c r="C880" s="87"/>
    </row>
    <row r="881" spans="1:3" ht="14.25" customHeight="1" x14ac:dyDescent="0.2">
      <c r="A881" s="82"/>
      <c r="C881" s="87"/>
    </row>
    <row r="882" spans="1:3" ht="14.25" customHeight="1" x14ac:dyDescent="0.2">
      <c r="A882" s="82"/>
      <c r="C882" s="87"/>
    </row>
    <row r="883" spans="1:3" ht="14.25" customHeight="1" x14ac:dyDescent="0.2">
      <c r="A883" s="82"/>
      <c r="C883" s="87"/>
    </row>
    <row r="884" spans="1:3" ht="14.25" customHeight="1" x14ac:dyDescent="0.2">
      <c r="A884" s="82"/>
      <c r="C884" s="87"/>
    </row>
    <row r="885" spans="1:3" ht="14.25" customHeight="1" x14ac:dyDescent="0.2">
      <c r="A885" s="82"/>
      <c r="C885" s="87"/>
    </row>
    <row r="886" spans="1:3" ht="14.25" customHeight="1" x14ac:dyDescent="0.2">
      <c r="A886" s="82"/>
      <c r="C886" s="87"/>
    </row>
    <row r="887" spans="1:3" ht="14.25" customHeight="1" x14ac:dyDescent="0.2">
      <c r="A887" s="82"/>
      <c r="C887" s="87"/>
    </row>
    <row r="888" spans="1:3" ht="14.25" customHeight="1" x14ac:dyDescent="0.2">
      <c r="A888" s="82"/>
      <c r="C888" s="87"/>
    </row>
    <row r="889" spans="1:3" ht="14.25" customHeight="1" x14ac:dyDescent="0.2">
      <c r="A889" s="82"/>
      <c r="C889" s="87"/>
    </row>
    <row r="890" spans="1:3" ht="14.25" customHeight="1" x14ac:dyDescent="0.2">
      <c r="A890" s="82"/>
      <c r="C890" s="87"/>
    </row>
    <row r="891" spans="1:3" ht="14.25" customHeight="1" x14ac:dyDescent="0.2">
      <c r="A891" s="82"/>
      <c r="C891" s="87"/>
    </row>
    <row r="892" spans="1:3" ht="14.25" customHeight="1" x14ac:dyDescent="0.2">
      <c r="A892" s="82"/>
      <c r="C892" s="87"/>
    </row>
    <row r="893" spans="1:3" ht="14.25" customHeight="1" x14ac:dyDescent="0.2">
      <c r="A893" s="82"/>
      <c r="C893" s="87"/>
    </row>
    <row r="894" spans="1:3" ht="14.25" customHeight="1" x14ac:dyDescent="0.2">
      <c r="A894" s="82"/>
      <c r="C894" s="87"/>
    </row>
    <row r="895" spans="1:3" ht="14.25" customHeight="1" x14ac:dyDescent="0.2">
      <c r="A895" s="82"/>
      <c r="C895" s="87"/>
    </row>
    <row r="896" spans="1:3" ht="14.25" customHeight="1" x14ac:dyDescent="0.2">
      <c r="A896" s="82"/>
      <c r="C896" s="87"/>
    </row>
    <row r="897" spans="1:3" ht="14.25" customHeight="1" x14ac:dyDescent="0.2">
      <c r="A897" s="82"/>
      <c r="C897" s="87"/>
    </row>
    <row r="898" spans="1:3" ht="14.25" customHeight="1" x14ac:dyDescent="0.2">
      <c r="A898" s="82"/>
      <c r="C898" s="87"/>
    </row>
    <row r="899" spans="1:3" ht="14.25" customHeight="1" x14ac:dyDescent="0.2">
      <c r="A899" s="82"/>
      <c r="C899" s="87"/>
    </row>
    <row r="900" spans="1:3" ht="14.25" customHeight="1" x14ac:dyDescent="0.2">
      <c r="A900" s="82"/>
      <c r="C900" s="87"/>
    </row>
    <row r="901" spans="1:3" ht="14.25" customHeight="1" x14ac:dyDescent="0.2">
      <c r="A901" s="82"/>
      <c r="C901" s="87"/>
    </row>
    <row r="902" spans="1:3" ht="14.25" customHeight="1" x14ac:dyDescent="0.2">
      <c r="A902" s="82"/>
      <c r="C902" s="87"/>
    </row>
    <row r="903" spans="1:3" ht="14.25" customHeight="1" x14ac:dyDescent="0.2">
      <c r="A903" s="82"/>
      <c r="C903" s="87"/>
    </row>
    <row r="904" spans="1:3" ht="14.25" customHeight="1" x14ac:dyDescent="0.2">
      <c r="A904" s="82"/>
      <c r="C904" s="87"/>
    </row>
    <row r="905" spans="1:3" ht="14.25" customHeight="1" x14ac:dyDescent="0.2">
      <c r="A905" s="82"/>
      <c r="C905" s="87"/>
    </row>
    <row r="906" spans="1:3" ht="14.25" customHeight="1" x14ac:dyDescent="0.2">
      <c r="A906" s="82"/>
      <c r="C906" s="87"/>
    </row>
    <row r="907" spans="1:3" ht="14.25" customHeight="1" x14ac:dyDescent="0.2">
      <c r="A907" s="82"/>
      <c r="C907" s="87"/>
    </row>
    <row r="908" spans="1:3" ht="14.25" customHeight="1" x14ac:dyDescent="0.2">
      <c r="A908" s="82"/>
      <c r="C908" s="87"/>
    </row>
    <row r="909" spans="1:3" ht="14.25" customHeight="1" x14ac:dyDescent="0.2">
      <c r="A909" s="82"/>
      <c r="C909" s="87"/>
    </row>
    <row r="910" spans="1:3" ht="14.25" customHeight="1" x14ac:dyDescent="0.2">
      <c r="A910" s="82"/>
      <c r="C910" s="87"/>
    </row>
    <row r="911" spans="1:3" ht="14.25" customHeight="1" x14ac:dyDescent="0.2">
      <c r="A911" s="82"/>
      <c r="C911" s="87"/>
    </row>
    <row r="912" spans="1:3" ht="14.25" customHeight="1" x14ac:dyDescent="0.2">
      <c r="A912" s="82"/>
      <c r="C912" s="87"/>
    </row>
    <row r="913" spans="1:3" ht="14.25" customHeight="1" x14ac:dyDescent="0.2">
      <c r="A913" s="82"/>
      <c r="C913" s="87"/>
    </row>
    <row r="914" spans="1:3" ht="14.25" customHeight="1" x14ac:dyDescent="0.2">
      <c r="A914" s="82"/>
      <c r="C914" s="87"/>
    </row>
    <row r="915" spans="1:3" ht="14.25" customHeight="1" x14ac:dyDescent="0.2">
      <c r="A915" s="82"/>
      <c r="C915" s="87"/>
    </row>
    <row r="916" spans="1:3" ht="14.25" customHeight="1" x14ac:dyDescent="0.2">
      <c r="A916" s="82"/>
      <c r="C916" s="87"/>
    </row>
    <row r="917" spans="1:3" ht="14.25" customHeight="1" x14ac:dyDescent="0.2">
      <c r="A917" s="82"/>
      <c r="C917" s="87"/>
    </row>
    <row r="918" spans="1:3" ht="14.25" customHeight="1" x14ac:dyDescent="0.2">
      <c r="A918" s="82"/>
      <c r="C918" s="87"/>
    </row>
    <row r="919" spans="1:3" ht="14.25" customHeight="1" x14ac:dyDescent="0.2">
      <c r="A919" s="82"/>
      <c r="C919" s="87"/>
    </row>
    <row r="920" spans="1:3" ht="14.25" customHeight="1" x14ac:dyDescent="0.2">
      <c r="A920" s="82"/>
      <c r="C920" s="87"/>
    </row>
    <row r="921" spans="1:3" ht="14.25" customHeight="1" x14ac:dyDescent="0.2">
      <c r="A921" s="82"/>
      <c r="C921" s="87"/>
    </row>
    <row r="922" spans="1:3" ht="14.25" customHeight="1" x14ac:dyDescent="0.2">
      <c r="A922" s="82"/>
      <c r="C922" s="87"/>
    </row>
    <row r="923" spans="1:3" ht="14.25" customHeight="1" x14ac:dyDescent="0.2">
      <c r="A923" s="82"/>
      <c r="C923" s="87"/>
    </row>
    <row r="924" spans="1:3" ht="14.25" customHeight="1" x14ac:dyDescent="0.2">
      <c r="A924" s="82"/>
      <c r="C924" s="87"/>
    </row>
    <row r="925" spans="1:3" ht="14.25" customHeight="1" x14ac:dyDescent="0.2">
      <c r="A925" s="82"/>
      <c r="C925" s="87"/>
    </row>
    <row r="926" spans="1:3" ht="14.25" customHeight="1" x14ac:dyDescent="0.2">
      <c r="A926" s="82"/>
      <c r="C926" s="87"/>
    </row>
    <row r="927" spans="1:3" ht="14.25" customHeight="1" x14ac:dyDescent="0.2">
      <c r="A927" s="82"/>
      <c r="C927" s="87"/>
    </row>
    <row r="928" spans="1:3" ht="14.25" customHeight="1" x14ac:dyDescent="0.2">
      <c r="A928" s="82"/>
      <c r="C928" s="87"/>
    </row>
    <row r="929" spans="1:3" ht="14.25" customHeight="1" x14ac:dyDescent="0.2">
      <c r="A929" s="82"/>
      <c r="C929" s="87"/>
    </row>
    <row r="930" spans="1:3" ht="14.25" customHeight="1" x14ac:dyDescent="0.2">
      <c r="A930" s="82"/>
      <c r="C930" s="87"/>
    </row>
    <row r="931" spans="1:3" ht="14.25" customHeight="1" x14ac:dyDescent="0.2">
      <c r="A931" s="82"/>
      <c r="C931" s="87"/>
    </row>
    <row r="932" spans="1:3" ht="14.25" customHeight="1" x14ac:dyDescent="0.2">
      <c r="A932" s="82"/>
      <c r="C932" s="87"/>
    </row>
    <row r="933" spans="1:3" ht="14.25" customHeight="1" x14ac:dyDescent="0.2">
      <c r="A933" s="82"/>
      <c r="C933" s="87"/>
    </row>
    <row r="934" spans="1:3" ht="14.25" customHeight="1" x14ac:dyDescent="0.2">
      <c r="A934" s="82"/>
      <c r="C934" s="87"/>
    </row>
    <row r="935" spans="1:3" ht="14.25" customHeight="1" x14ac:dyDescent="0.2">
      <c r="A935" s="82"/>
      <c r="C935" s="87"/>
    </row>
    <row r="936" spans="1:3" ht="14.25" customHeight="1" x14ac:dyDescent="0.2">
      <c r="A936" s="82"/>
      <c r="C936" s="87"/>
    </row>
    <row r="937" spans="1:3" ht="14.25" customHeight="1" x14ac:dyDescent="0.2">
      <c r="A937" s="82"/>
      <c r="C937" s="87"/>
    </row>
    <row r="938" spans="1:3" ht="14.25" customHeight="1" x14ac:dyDescent="0.2">
      <c r="A938" s="82"/>
      <c r="C938" s="87"/>
    </row>
    <row r="939" spans="1:3" ht="14.25" customHeight="1" x14ac:dyDescent="0.2">
      <c r="A939" s="82"/>
      <c r="C939" s="87"/>
    </row>
    <row r="940" spans="1:3" ht="14.25" customHeight="1" x14ac:dyDescent="0.2">
      <c r="A940" s="82"/>
      <c r="C940" s="87"/>
    </row>
    <row r="941" spans="1:3" ht="14.25" customHeight="1" x14ac:dyDescent="0.2">
      <c r="A941" s="82"/>
      <c r="C941" s="87"/>
    </row>
    <row r="942" spans="1:3" ht="14.25" customHeight="1" x14ac:dyDescent="0.2">
      <c r="A942" s="82"/>
      <c r="C942" s="87"/>
    </row>
    <row r="943" spans="1:3" ht="14.25" customHeight="1" x14ac:dyDescent="0.2">
      <c r="A943" s="82"/>
      <c r="C943" s="87"/>
    </row>
    <row r="944" spans="1:3" ht="14.25" customHeight="1" x14ac:dyDescent="0.2">
      <c r="A944" s="82"/>
      <c r="C944" s="87"/>
    </row>
    <row r="945" spans="1:3" ht="14.25" customHeight="1" x14ac:dyDescent="0.2">
      <c r="A945" s="82"/>
      <c r="C945" s="87"/>
    </row>
    <row r="946" spans="1:3" ht="14.25" customHeight="1" x14ac:dyDescent="0.2">
      <c r="A946" s="82"/>
      <c r="C946" s="87"/>
    </row>
    <row r="947" spans="1:3" ht="14.25" customHeight="1" x14ac:dyDescent="0.2">
      <c r="A947" s="82"/>
      <c r="C947" s="87"/>
    </row>
    <row r="948" spans="1:3" ht="14.25" customHeight="1" x14ac:dyDescent="0.2">
      <c r="A948" s="82"/>
      <c r="C948" s="87"/>
    </row>
    <row r="949" spans="1:3" ht="14.25" customHeight="1" x14ac:dyDescent="0.2">
      <c r="A949" s="82"/>
      <c r="C949" s="87"/>
    </row>
    <row r="950" spans="1:3" ht="14.25" customHeight="1" x14ac:dyDescent="0.2">
      <c r="A950" s="82"/>
      <c r="C950" s="87"/>
    </row>
    <row r="951" spans="1:3" ht="14.25" customHeight="1" x14ac:dyDescent="0.2">
      <c r="A951" s="82"/>
      <c r="C951" s="87"/>
    </row>
    <row r="952" spans="1:3" ht="14.25" customHeight="1" x14ac:dyDescent="0.2">
      <c r="A952" s="82"/>
      <c r="C952" s="87"/>
    </row>
    <row r="953" spans="1:3" ht="14.25" customHeight="1" x14ac:dyDescent="0.2">
      <c r="A953" s="82"/>
      <c r="C953" s="87"/>
    </row>
    <row r="954" spans="1:3" ht="14.25" customHeight="1" x14ac:dyDescent="0.2">
      <c r="A954" s="82"/>
      <c r="C954" s="87"/>
    </row>
    <row r="955" spans="1:3" ht="14.25" customHeight="1" x14ac:dyDescent="0.2">
      <c r="A955" s="82"/>
      <c r="C955" s="87"/>
    </row>
    <row r="956" spans="1:3" ht="14.25" customHeight="1" x14ac:dyDescent="0.2">
      <c r="A956" s="82"/>
      <c r="C956" s="87"/>
    </row>
    <row r="957" spans="1:3" ht="14.25" customHeight="1" x14ac:dyDescent="0.2">
      <c r="A957" s="82"/>
      <c r="C957" s="87"/>
    </row>
    <row r="958" spans="1:3" ht="14.25" customHeight="1" x14ac:dyDescent="0.2">
      <c r="A958" s="82"/>
      <c r="C958" s="87"/>
    </row>
    <row r="959" spans="1:3" ht="14.25" customHeight="1" x14ac:dyDescent="0.2">
      <c r="A959" s="82"/>
      <c r="C959" s="87"/>
    </row>
    <row r="960" spans="1:3" ht="14.25" customHeight="1" x14ac:dyDescent="0.2">
      <c r="A960" s="82"/>
      <c r="C960" s="87"/>
    </row>
    <row r="961" spans="1:3" ht="14.25" customHeight="1" x14ac:dyDescent="0.2">
      <c r="A961" s="82"/>
      <c r="C961" s="87"/>
    </row>
    <row r="962" spans="1:3" ht="14.25" customHeight="1" x14ac:dyDescent="0.2">
      <c r="A962" s="82"/>
      <c r="C962" s="87"/>
    </row>
    <row r="963" spans="1:3" ht="14.25" customHeight="1" x14ac:dyDescent="0.2">
      <c r="A963" s="82"/>
      <c r="C963" s="87"/>
    </row>
    <row r="964" spans="1:3" ht="14.25" customHeight="1" x14ac:dyDescent="0.2">
      <c r="A964" s="82"/>
      <c r="C964" s="87"/>
    </row>
    <row r="965" spans="1:3" ht="14.25" customHeight="1" x14ac:dyDescent="0.2">
      <c r="A965" s="82"/>
      <c r="C965" s="87"/>
    </row>
    <row r="966" spans="1:3" ht="14.25" customHeight="1" x14ac:dyDescent="0.2">
      <c r="A966" s="82"/>
      <c r="C966" s="87"/>
    </row>
    <row r="967" spans="1:3" ht="14.25" customHeight="1" x14ac:dyDescent="0.2">
      <c r="A967" s="82"/>
      <c r="C967" s="87"/>
    </row>
    <row r="968" spans="1:3" ht="14.25" customHeight="1" x14ac:dyDescent="0.2">
      <c r="A968" s="82"/>
      <c r="C968" s="87"/>
    </row>
    <row r="969" spans="1:3" ht="14.25" customHeight="1" x14ac:dyDescent="0.2">
      <c r="A969" s="82"/>
      <c r="C969" s="87"/>
    </row>
    <row r="970" spans="1:3" ht="14.25" customHeight="1" x14ac:dyDescent="0.2">
      <c r="A970" s="82"/>
      <c r="C970" s="87"/>
    </row>
    <row r="971" spans="1:3" ht="14.25" customHeight="1" x14ac:dyDescent="0.2">
      <c r="A971" s="82"/>
      <c r="C971" s="87"/>
    </row>
    <row r="972" spans="1:3" ht="14.25" customHeight="1" x14ac:dyDescent="0.2">
      <c r="A972" s="82"/>
      <c r="C972" s="87"/>
    </row>
    <row r="973" spans="1:3" ht="14.25" customHeight="1" x14ac:dyDescent="0.2">
      <c r="A973" s="82"/>
      <c r="C973" s="87"/>
    </row>
    <row r="974" spans="1:3" ht="14.25" customHeight="1" x14ac:dyDescent="0.2">
      <c r="A974" s="82"/>
      <c r="C974" s="87"/>
    </row>
    <row r="975" spans="1:3" ht="14.25" customHeight="1" x14ac:dyDescent="0.2">
      <c r="A975" s="82"/>
      <c r="C975" s="87"/>
    </row>
    <row r="976" spans="1:3" ht="14.25" customHeight="1" x14ac:dyDescent="0.2">
      <c r="A976" s="82"/>
      <c r="C976" s="87"/>
    </row>
    <row r="977" spans="1:3" ht="14.25" customHeight="1" x14ac:dyDescent="0.2">
      <c r="A977" s="82"/>
      <c r="C977" s="87"/>
    </row>
    <row r="978" spans="1:3" ht="14.25" customHeight="1" x14ac:dyDescent="0.2">
      <c r="A978" s="82"/>
      <c r="C978" s="87"/>
    </row>
    <row r="979" spans="1:3" ht="14.25" customHeight="1" x14ac:dyDescent="0.2">
      <c r="A979" s="82"/>
      <c r="C979" s="87"/>
    </row>
    <row r="980" spans="1:3" ht="14.25" customHeight="1" x14ac:dyDescent="0.2">
      <c r="A980" s="82"/>
      <c r="C980" s="87"/>
    </row>
    <row r="981" spans="1:3" ht="14.25" customHeight="1" x14ac:dyDescent="0.2">
      <c r="A981" s="82"/>
      <c r="C981" s="87"/>
    </row>
    <row r="982" spans="1:3" ht="14.25" customHeight="1" x14ac:dyDescent="0.2">
      <c r="A982" s="82"/>
      <c r="C982" s="87"/>
    </row>
    <row r="983" spans="1:3" ht="14.25" customHeight="1" x14ac:dyDescent="0.2">
      <c r="A983" s="82"/>
      <c r="C983" s="87"/>
    </row>
    <row r="984" spans="1:3" ht="14.25" customHeight="1" x14ac:dyDescent="0.2">
      <c r="A984" s="82"/>
      <c r="C984" s="87"/>
    </row>
    <row r="985" spans="1:3" ht="14.25" customHeight="1" x14ac:dyDescent="0.2">
      <c r="A985" s="82"/>
      <c r="C985" s="87"/>
    </row>
    <row r="986" spans="1:3" ht="14.25" customHeight="1" x14ac:dyDescent="0.2">
      <c r="A986" s="82"/>
      <c r="C986" s="87"/>
    </row>
    <row r="987" spans="1:3" ht="14.25" customHeight="1" x14ac:dyDescent="0.2">
      <c r="A987" s="82"/>
      <c r="C987" s="87"/>
    </row>
    <row r="988" spans="1:3" ht="14.25" customHeight="1" x14ac:dyDescent="0.2">
      <c r="A988" s="82"/>
      <c r="C988" s="87"/>
    </row>
    <row r="989" spans="1:3" ht="14.25" customHeight="1" x14ac:dyDescent="0.2">
      <c r="A989" s="82"/>
      <c r="C989" s="87"/>
    </row>
    <row r="990" spans="1:3" ht="14.25" customHeight="1" x14ac:dyDescent="0.2">
      <c r="A990" s="82"/>
      <c r="C990" s="87"/>
    </row>
    <row r="991" spans="1:3" ht="14.25" customHeight="1" x14ac:dyDescent="0.2">
      <c r="A991" s="82"/>
      <c r="C991" s="87"/>
    </row>
    <row r="992" spans="1:3" ht="14.25" customHeight="1" x14ac:dyDescent="0.2">
      <c r="A992" s="82"/>
      <c r="C992" s="87"/>
    </row>
    <row r="993" spans="1:3" ht="14.25" customHeight="1" x14ac:dyDescent="0.2">
      <c r="A993" s="82"/>
      <c r="C993" s="87"/>
    </row>
    <row r="994" spans="1:3" ht="14.25" customHeight="1" x14ac:dyDescent="0.2">
      <c r="A994" s="82"/>
      <c r="C994" s="87"/>
    </row>
    <row r="995" spans="1:3" ht="14.25" customHeight="1" x14ac:dyDescent="0.2">
      <c r="A995" s="82"/>
      <c r="C995" s="87"/>
    </row>
    <row r="996" spans="1:3" ht="14.25" customHeight="1" x14ac:dyDescent="0.2">
      <c r="A996" s="82"/>
      <c r="C996" s="87"/>
    </row>
    <row r="997" spans="1:3" ht="14.25" customHeight="1" x14ac:dyDescent="0.2">
      <c r="A997" s="82"/>
      <c r="C997" s="87"/>
    </row>
    <row r="998" spans="1:3" ht="14.25" customHeight="1" x14ac:dyDescent="0.2">
      <c r="A998" s="82"/>
      <c r="C998" s="87"/>
    </row>
    <row r="999" spans="1:3" ht="14.25" customHeight="1" x14ac:dyDescent="0.2">
      <c r="A999" s="82"/>
      <c r="C999" s="87"/>
    </row>
    <row r="1000" spans="1:3" ht="14.25" customHeight="1" x14ac:dyDescent="0.2">
      <c r="A1000" s="82"/>
      <c r="C1000" s="87"/>
    </row>
  </sheetData>
  <autoFilter ref="A1:G437" xr:uid="{00000000-0009-0000-0000-000003000000}"/>
  <mergeCells count="1">
    <mergeCell ref="F4:F5"/>
  </mergeCells>
  <conditionalFormatting sqref="B1 B4:B1000">
    <cfRule type="cellIs" dxfId="139" priority="1" operator="lessThan">
      <formula>0</formula>
    </cfRule>
  </conditionalFormatting>
  <dataValidations count="1">
    <dataValidation type="list" allowBlank="1" showErrorMessage="1" sqref="A554:A1000" xr:uid="{00000000-0002-0000-0300-000001000000}">
      <formula1>$A$7:$A$253</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300-000000000000}">
          <x14:formula1>
            <xm:f>Kostensoorts!$A$8:$A$266</xm:f>
          </x14:formula1>
          <xm:sqref>A1:A3</xm:sqref>
        </x14:dataValidation>
        <x14:dataValidation type="list" allowBlank="1" showErrorMessage="1" xr:uid="{00000000-0002-0000-0300-000002000000}">
          <x14:formula1>
            <xm:f>Kostensoorts!$A$3:$A$1039</xm:f>
          </x14:formula1>
          <xm:sqref>A4:A6 A54:A58 A63 A65 A67 A79 A81:A82 A86:A89 A91:A92 A101:A104 A106:A107 A109:A111</xm:sqref>
        </x14:dataValidation>
        <x14:dataValidation type="list" allowBlank="1" showErrorMessage="1" xr:uid="{00000000-0002-0000-0300-000003000000}">
          <x14:formula1>
            <xm:f>Kostensoorts!$A$3:$A$306</xm:f>
          </x14:formula1>
          <xm:sqref>A7:A53 A59:A62 A64 A66 A68:A78 A80 A83:A85 A90 A93:A100 A105 A108 A112:A553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7D2D8"/>
  </sheetPr>
  <dimension ref="A1:AE1001"/>
  <sheetViews>
    <sheetView zoomScale="91" zoomScaleNormal="94" workbookViewId="0">
      <pane ySplit="1" topLeftCell="A101" activePane="bottomLeft" state="frozen"/>
      <selection pane="bottomLeft" activeCell="A11" sqref="A11"/>
    </sheetView>
  </sheetViews>
  <sheetFormatPr baseColWidth="10" defaultColWidth="14.5" defaultRowHeight="15" customHeight="1" x14ac:dyDescent="0.2"/>
  <cols>
    <col min="1" max="1" width="32.5" customWidth="1"/>
    <col min="2" max="2" width="16.83203125" customWidth="1"/>
    <col min="3" max="3" width="15" customWidth="1"/>
    <col min="4" max="4" width="4.33203125" customWidth="1"/>
    <col min="5" max="5" width="12.83203125" customWidth="1"/>
    <col min="6" max="6" width="30" customWidth="1"/>
    <col min="7" max="7" width="19.1640625" customWidth="1"/>
    <col min="8" max="8" width="28.6640625" customWidth="1"/>
    <col min="9" max="9" width="7.5" customWidth="1"/>
    <col min="10" max="10" width="11.83203125" customWidth="1"/>
    <col min="11" max="11" width="11.6640625" customWidth="1"/>
    <col min="12" max="12" width="16.1640625" customWidth="1"/>
    <col min="13" max="13" width="247.5" hidden="1" customWidth="1"/>
    <col min="14" max="14" width="45.83203125" customWidth="1"/>
    <col min="15" max="15" width="68.33203125" customWidth="1"/>
    <col min="16" max="31" width="10.83203125" customWidth="1"/>
  </cols>
  <sheetData>
    <row r="1" spans="1:15" ht="14.25" customHeight="1" x14ac:dyDescent="0.2">
      <c r="A1" s="75" t="s">
        <v>330</v>
      </c>
      <c r="B1" s="76" t="s">
        <v>331</v>
      </c>
      <c r="C1" s="80" t="s">
        <v>337</v>
      </c>
      <c r="D1" s="81"/>
      <c r="E1" s="77" t="s">
        <v>332</v>
      </c>
      <c r="F1" s="78" t="s">
        <v>333</v>
      </c>
      <c r="G1" s="76" t="s">
        <v>338</v>
      </c>
      <c r="H1" s="80" t="s">
        <v>339</v>
      </c>
      <c r="I1" s="81" t="s">
        <v>340</v>
      </c>
      <c r="J1" s="77" t="s">
        <v>341</v>
      </c>
      <c r="K1" s="75" t="s">
        <v>331</v>
      </c>
      <c r="L1" s="76" t="s">
        <v>342</v>
      </c>
      <c r="M1" s="79" t="s">
        <v>334</v>
      </c>
      <c r="N1" s="80" t="s">
        <v>343</v>
      </c>
      <c r="O1" s="81" t="s">
        <v>336</v>
      </c>
    </row>
    <row r="2" spans="1:15" ht="14.25" customHeight="1" x14ac:dyDescent="0.2">
      <c r="A2" s="82" t="s">
        <v>344</v>
      </c>
      <c r="B2" s="83">
        <v>0</v>
      </c>
      <c r="C2" s="92">
        <v>0</v>
      </c>
      <c r="D2" s="93"/>
      <c r="E2" s="84"/>
      <c r="F2" s="85"/>
      <c r="G2" s="85"/>
      <c r="H2" s="85"/>
      <c r="I2" s="85"/>
      <c r="J2" s="85"/>
      <c r="K2" s="94"/>
      <c r="L2" s="85"/>
      <c r="M2" s="85"/>
    </row>
    <row r="3" spans="1:15" ht="14.25" customHeight="1" x14ac:dyDescent="0.2">
      <c r="A3" s="587" t="s">
        <v>1575</v>
      </c>
      <c r="B3">
        <f t="shared" ref="B3:B31" si="0">K3</f>
        <v>-206.93</v>
      </c>
      <c r="C3" s="571">
        <f t="shared" ref="C3:C29" si="1">C2+B3</f>
        <v>-206.93</v>
      </c>
      <c r="E3" s="570">
        <v>20251104</v>
      </c>
      <c r="F3" t="s">
        <v>702</v>
      </c>
      <c r="G3" t="s">
        <v>346</v>
      </c>
      <c r="H3" t="s">
        <v>703</v>
      </c>
      <c r="I3" t="s">
        <v>704</v>
      </c>
      <c r="J3" t="s">
        <v>367</v>
      </c>
      <c r="K3">
        <v>-206.93</v>
      </c>
      <c r="L3" t="s">
        <v>705</v>
      </c>
      <c r="M3" t="s">
        <v>706</v>
      </c>
    </row>
    <row r="4" spans="1:15" ht="14.25" customHeight="1" x14ac:dyDescent="0.2">
      <c r="A4" s="572" t="s">
        <v>89</v>
      </c>
      <c r="B4">
        <f t="shared" si="0"/>
        <v>25.83</v>
      </c>
      <c r="C4" s="571">
        <f t="shared" si="1"/>
        <v>-181.10000000000002</v>
      </c>
      <c r="E4" s="570">
        <v>20251031</v>
      </c>
      <c r="F4" t="s">
        <v>707</v>
      </c>
      <c r="G4" t="s">
        <v>346</v>
      </c>
      <c r="H4" t="s">
        <v>708</v>
      </c>
      <c r="I4" t="s">
        <v>704</v>
      </c>
      <c r="J4" t="s">
        <v>367</v>
      </c>
      <c r="K4">
        <v>25.83</v>
      </c>
      <c r="L4" t="s">
        <v>705</v>
      </c>
      <c r="M4" t="s">
        <v>709</v>
      </c>
    </row>
    <row r="5" spans="1:15" ht="14.25" customHeight="1" x14ac:dyDescent="0.2">
      <c r="A5" t="s">
        <v>89</v>
      </c>
      <c r="B5">
        <f t="shared" si="0"/>
        <v>117.67</v>
      </c>
      <c r="C5" s="571">
        <f t="shared" si="1"/>
        <v>-63.430000000000021</v>
      </c>
      <c r="E5" s="570">
        <v>20251030</v>
      </c>
      <c r="F5" t="s">
        <v>707</v>
      </c>
      <c r="G5" t="s">
        <v>346</v>
      </c>
      <c r="H5" t="s">
        <v>708</v>
      </c>
      <c r="I5" t="s">
        <v>704</v>
      </c>
      <c r="J5" t="s">
        <v>367</v>
      </c>
      <c r="K5">
        <v>117.67</v>
      </c>
      <c r="L5" t="s">
        <v>705</v>
      </c>
      <c r="M5" t="s">
        <v>710</v>
      </c>
    </row>
    <row r="6" spans="1:15" ht="14.25" customHeight="1" x14ac:dyDescent="0.2">
      <c r="A6" t="s">
        <v>89</v>
      </c>
      <c r="B6">
        <f t="shared" si="0"/>
        <v>342.37</v>
      </c>
      <c r="C6" s="571">
        <f t="shared" si="1"/>
        <v>278.94</v>
      </c>
      <c r="E6" s="570">
        <v>20251029</v>
      </c>
      <c r="F6" t="s">
        <v>707</v>
      </c>
      <c r="G6" t="s">
        <v>346</v>
      </c>
      <c r="H6" t="s">
        <v>708</v>
      </c>
      <c r="I6" t="s">
        <v>704</v>
      </c>
      <c r="J6" t="s">
        <v>367</v>
      </c>
      <c r="K6">
        <v>342.37</v>
      </c>
      <c r="L6" t="s">
        <v>705</v>
      </c>
      <c r="M6" t="s">
        <v>711</v>
      </c>
    </row>
    <row r="7" spans="1:15" ht="14.25" customHeight="1" x14ac:dyDescent="0.2">
      <c r="A7" t="s">
        <v>89</v>
      </c>
      <c r="B7">
        <f t="shared" si="0"/>
        <v>112.66</v>
      </c>
      <c r="C7" s="571">
        <f t="shared" si="1"/>
        <v>391.6</v>
      </c>
      <c r="E7" s="570">
        <v>20251028</v>
      </c>
      <c r="F7" t="s">
        <v>707</v>
      </c>
      <c r="G7" t="s">
        <v>346</v>
      </c>
      <c r="H7" t="s">
        <v>708</v>
      </c>
      <c r="I7" t="s">
        <v>704</v>
      </c>
      <c r="J7" t="s">
        <v>367</v>
      </c>
      <c r="K7">
        <v>112.66</v>
      </c>
      <c r="L7" t="s">
        <v>705</v>
      </c>
      <c r="M7" t="s">
        <v>712</v>
      </c>
    </row>
    <row r="8" spans="1:15" ht="14.25" customHeight="1" x14ac:dyDescent="0.2">
      <c r="A8" t="s">
        <v>89</v>
      </c>
      <c r="B8">
        <f t="shared" si="0"/>
        <v>38.549999999999997</v>
      </c>
      <c r="C8" s="571">
        <f t="shared" si="1"/>
        <v>430.15000000000003</v>
      </c>
      <c r="E8" s="570">
        <v>20251027</v>
      </c>
      <c r="F8" t="s">
        <v>707</v>
      </c>
      <c r="G8" t="s">
        <v>346</v>
      </c>
      <c r="H8" t="s">
        <v>708</v>
      </c>
      <c r="I8" t="s">
        <v>704</v>
      </c>
      <c r="J8" t="s">
        <v>367</v>
      </c>
      <c r="K8">
        <v>38.549999999999997</v>
      </c>
      <c r="L8" t="s">
        <v>705</v>
      </c>
      <c r="M8" t="s">
        <v>713</v>
      </c>
    </row>
    <row r="9" spans="1:15" ht="14.25" customHeight="1" x14ac:dyDescent="0.2">
      <c r="A9" s="572" t="s">
        <v>107</v>
      </c>
      <c r="B9">
        <f t="shared" si="0"/>
        <v>-44.06</v>
      </c>
      <c r="C9" s="571">
        <f t="shared" si="1"/>
        <v>386.09000000000003</v>
      </c>
      <c r="E9" s="570">
        <v>20251026</v>
      </c>
      <c r="F9" t="s">
        <v>714</v>
      </c>
      <c r="G9" t="s">
        <v>346</v>
      </c>
      <c r="I9" t="s">
        <v>715</v>
      </c>
      <c r="J9" t="s">
        <v>349</v>
      </c>
      <c r="K9">
        <v>-44.06</v>
      </c>
      <c r="L9" t="s">
        <v>716</v>
      </c>
      <c r="M9" t="s">
        <v>717</v>
      </c>
    </row>
    <row r="10" spans="1:15" ht="14.25" customHeight="1" x14ac:dyDescent="0.2">
      <c r="A10" s="572" t="s">
        <v>738</v>
      </c>
      <c r="B10">
        <f t="shared" si="0"/>
        <v>816.44</v>
      </c>
      <c r="C10" s="571">
        <f t="shared" si="1"/>
        <v>1202.5300000000002</v>
      </c>
      <c r="E10" s="570">
        <v>20251024</v>
      </c>
      <c r="F10" t="s">
        <v>718</v>
      </c>
      <c r="G10" t="s">
        <v>346</v>
      </c>
      <c r="H10" t="s">
        <v>719</v>
      </c>
      <c r="I10" t="s">
        <v>704</v>
      </c>
      <c r="J10" t="s">
        <v>367</v>
      </c>
      <c r="K10">
        <v>816.44</v>
      </c>
      <c r="L10" t="s">
        <v>705</v>
      </c>
      <c r="M10" t="s">
        <v>720</v>
      </c>
    </row>
    <row r="11" spans="1:15" ht="14.25" customHeight="1" x14ac:dyDescent="0.2">
      <c r="A11" t="s">
        <v>89</v>
      </c>
      <c r="B11">
        <f t="shared" si="0"/>
        <v>116.55</v>
      </c>
      <c r="C11" s="571">
        <f t="shared" si="1"/>
        <v>1319.0800000000002</v>
      </c>
      <c r="E11" s="570">
        <v>20251024</v>
      </c>
      <c r="F11" t="s">
        <v>707</v>
      </c>
      <c r="G11" t="s">
        <v>346</v>
      </c>
      <c r="H11" t="s">
        <v>708</v>
      </c>
      <c r="I11" t="s">
        <v>704</v>
      </c>
      <c r="J11" t="s">
        <v>367</v>
      </c>
      <c r="K11">
        <v>116.55</v>
      </c>
      <c r="L11" t="s">
        <v>705</v>
      </c>
      <c r="M11" t="s">
        <v>721</v>
      </c>
    </row>
    <row r="12" spans="1:15" ht="14.25" customHeight="1" x14ac:dyDescent="0.2">
      <c r="A12" t="s">
        <v>89</v>
      </c>
      <c r="B12">
        <f t="shared" si="0"/>
        <v>53.66</v>
      </c>
      <c r="C12" s="571">
        <f t="shared" si="1"/>
        <v>1372.7400000000002</v>
      </c>
      <c r="E12" s="570">
        <v>20251023</v>
      </c>
      <c r="F12" t="s">
        <v>707</v>
      </c>
      <c r="G12" t="s">
        <v>346</v>
      </c>
      <c r="H12" t="s">
        <v>708</v>
      </c>
      <c r="I12" t="s">
        <v>704</v>
      </c>
      <c r="J12" t="s">
        <v>367</v>
      </c>
      <c r="K12">
        <v>53.66</v>
      </c>
      <c r="L12" t="s">
        <v>705</v>
      </c>
      <c r="M12" t="s">
        <v>722</v>
      </c>
    </row>
    <row r="13" spans="1:15" ht="14.25" customHeight="1" x14ac:dyDescent="0.2">
      <c r="A13" s="594" t="s">
        <v>2782</v>
      </c>
      <c r="B13" s="591">
        <f t="shared" si="0"/>
        <v>164.86</v>
      </c>
      <c r="C13" s="592">
        <f t="shared" si="1"/>
        <v>1537.6000000000004</v>
      </c>
      <c r="D13" s="591"/>
      <c r="E13" s="593">
        <v>20251023</v>
      </c>
      <c r="F13" s="594" t="s">
        <v>723</v>
      </c>
      <c r="G13" s="591" t="s">
        <v>346</v>
      </c>
      <c r="H13" s="591" t="s">
        <v>724</v>
      </c>
      <c r="I13" t="s">
        <v>704</v>
      </c>
      <c r="J13" t="s">
        <v>367</v>
      </c>
      <c r="K13">
        <v>164.86</v>
      </c>
      <c r="L13" t="s">
        <v>705</v>
      </c>
      <c r="M13" t="s">
        <v>725</v>
      </c>
    </row>
    <row r="14" spans="1:15" ht="14.25" customHeight="1" x14ac:dyDescent="0.2">
      <c r="A14" t="s">
        <v>89</v>
      </c>
      <c r="B14">
        <f t="shared" si="0"/>
        <v>253.45</v>
      </c>
      <c r="C14" s="571">
        <f t="shared" si="1"/>
        <v>1791.0500000000004</v>
      </c>
      <c r="E14" s="570">
        <v>20251022</v>
      </c>
      <c r="F14" t="s">
        <v>707</v>
      </c>
      <c r="G14" t="s">
        <v>346</v>
      </c>
      <c r="H14" t="s">
        <v>708</v>
      </c>
      <c r="I14" t="s">
        <v>704</v>
      </c>
      <c r="J14" t="s">
        <v>367</v>
      </c>
      <c r="K14">
        <v>253.45</v>
      </c>
      <c r="L14" t="s">
        <v>705</v>
      </c>
      <c r="M14" t="s">
        <v>726</v>
      </c>
    </row>
    <row r="15" spans="1:15" ht="14.25" customHeight="1" x14ac:dyDescent="0.2">
      <c r="A15" s="573" t="s">
        <v>101</v>
      </c>
      <c r="B15">
        <f t="shared" si="0"/>
        <v>-18.14</v>
      </c>
      <c r="C15" s="571">
        <f t="shared" si="1"/>
        <v>1772.9100000000003</v>
      </c>
      <c r="E15" s="570">
        <v>20251022</v>
      </c>
      <c r="F15" s="572" t="s">
        <v>727</v>
      </c>
      <c r="G15" t="s">
        <v>346</v>
      </c>
      <c r="H15" t="s">
        <v>728</v>
      </c>
      <c r="I15" t="s">
        <v>729</v>
      </c>
      <c r="J15" t="s">
        <v>349</v>
      </c>
      <c r="K15">
        <v>-18.14</v>
      </c>
      <c r="L15" t="s">
        <v>730</v>
      </c>
      <c r="M15" t="s">
        <v>731</v>
      </c>
    </row>
    <row r="16" spans="1:15" ht="14.25" customHeight="1" x14ac:dyDescent="0.2">
      <c r="A16" s="572" t="s">
        <v>738</v>
      </c>
      <c r="B16">
        <f t="shared" si="0"/>
        <v>855.63</v>
      </c>
      <c r="C16" s="571">
        <f t="shared" si="1"/>
        <v>2628.5400000000004</v>
      </c>
      <c r="E16" s="570">
        <v>20251021</v>
      </c>
      <c r="F16" t="s">
        <v>732</v>
      </c>
      <c r="G16" t="s">
        <v>346</v>
      </c>
      <c r="H16" t="s">
        <v>733</v>
      </c>
      <c r="I16" t="s">
        <v>347</v>
      </c>
      <c r="J16" t="s">
        <v>367</v>
      </c>
      <c r="K16">
        <v>855.63</v>
      </c>
      <c r="L16" t="s">
        <v>348</v>
      </c>
      <c r="M16" t="s">
        <v>734</v>
      </c>
    </row>
    <row r="17" spans="1:13" ht="14.25" customHeight="1" x14ac:dyDescent="0.2">
      <c r="A17" s="82" t="s">
        <v>89</v>
      </c>
      <c r="B17">
        <f t="shared" si="0"/>
        <v>295.17</v>
      </c>
      <c r="C17" s="571">
        <f t="shared" si="1"/>
        <v>2923.7100000000005</v>
      </c>
      <c r="E17" s="570">
        <v>20251021</v>
      </c>
      <c r="F17" t="s">
        <v>707</v>
      </c>
      <c r="G17" t="s">
        <v>346</v>
      </c>
      <c r="H17" t="s">
        <v>708</v>
      </c>
      <c r="I17" t="s">
        <v>704</v>
      </c>
      <c r="J17" t="s">
        <v>367</v>
      </c>
      <c r="K17">
        <v>295.17</v>
      </c>
      <c r="L17" t="s">
        <v>705</v>
      </c>
      <c r="M17" t="s">
        <v>735</v>
      </c>
    </row>
    <row r="18" spans="1:13" ht="14.25" customHeight="1" x14ac:dyDescent="0.2">
      <c r="A18" s="82" t="s">
        <v>89</v>
      </c>
      <c r="B18">
        <f t="shared" si="0"/>
        <v>230.55</v>
      </c>
      <c r="C18" s="571">
        <f t="shared" si="1"/>
        <v>3154.2600000000007</v>
      </c>
      <c r="E18" s="570">
        <v>20251020</v>
      </c>
      <c r="F18" t="s">
        <v>707</v>
      </c>
      <c r="G18" t="s">
        <v>346</v>
      </c>
      <c r="H18" t="s">
        <v>708</v>
      </c>
      <c r="I18" t="s">
        <v>704</v>
      </c>
      <c r="J18" t="s">
        <v>367</v>
      </c>
      <c r="K18">
        <v>230.55</v>
      </c>
      <c r="L18" t="s">
        <v>705</v>
      </c>
      <c r="M18" t="s">
        <v>736</v>
      </c>
    </row>
    <row r="19" spans="1:13" ht="14.25" customHeight="1" x14ac:dyDescent="0.2">
      <c r="A19" s="82" t="s">
        <v>89</v>
      </c>
      <c r="B19">
        <f t="shared" si="0"/>
        <v>385.65</v>
      </c>
      <c r="C19" s="571">
        <f t="shared" si="1"/>
        <v>3539.9100000000008</v>
      </c>
      <c r="E19" s="570">
        <v>20251017</v>
      </c>
      <c r="F19" t="s">
        <v>707</v>
      </c>
      <c r="G19" t="s">
        <v>346</v>
      </c>
      <c r="H19" t="s">
        <v>708</v>
      </c>
      <c r="I19" t="s">
        <v>704</v>
      </c>
      <c r="J19" t="s">
        <v>367</v>
      </c>
      <c r="K19">
        <v>385.65</v>
      </c>
      <c r="L19" t="s">
        <v>705</v>
      </c>
      <c r="M19" t="s">
        <v>737</v>
      </c>
    </row>
    <row r="20" spans="1:13" ht="14.25" customHeight="1" x14ac:dyDescent="0.2">
      <c r="A20" s="577" t="s">
        <v>110</v>
      </c>
      <c r="B20">
        <f t="shared" si="0"/>
        <v>-30.25</v>
      </c>
      <c r="C20" s="571">
        <f t="shared" si="1"/>
        <v>3509.6600000000008</v>
      </c>
      <c r="E20" s="570">
        <v>20251113</v>
      </c>
      <c r="F20" t="s">
        <v>1390</v>
      </c>
      <c r="G20" t="s">
        <v>346</v>
      </c>
      <c r="H20" t="s">
        <v>1391</v>
      </c>
      <c r="I20" t="s">
        <v>729</v>
      </c>
      <c r="J20" t="s">
        <v>349</v>
      </c>
      <c r="K20">
        <v>-30.25</v>
      </c>
      <c r="L20" t="s">
        <v>730</v>
      </c>
      <c r="M20" t="s">
        <v>1392</v>
      </c>
    </row>
    <row r="21" spans="1:13" ht="14.25" customHeight="1" x14ac:dyDescent="0.2">
      <c r="A21" s="577" t="s">
        <v>89</v>
      </c>
      <c r="B21">
        <f t="shared" si="0"/>
        <v>89.47</v>
      </c>
      <c r="C21" s="571">
        <f t="shared" si="1"/>
        <v>3599.1300000000006</v>
      </c>
      <c r="E21" s="570">
        <v>20251114</v>
      </c>
      <c r="F21" t="s">
        <v>707</v>
      </c>
      <c r="G21" t="s">
        <v>346</v>
      </c>
      <c r="H21" t="s">
        <v>708</v>
      </c>
      <c r="I21" t="s">
        <v>704</v>
      </c>
      <c r="J21" t="s">
        <v>367</v>
      </c>
      <c r="K21">
        <v>89.47</v>
      </c>
      <c r="L21" t="s">
        <v>705</v>
      </c>
      <c r="M21" t="s">
        <v>1389</v>
      </c>
    </row>
    <row r="22" spans="1:13" ht="14.25" customHeight="1" x14ac:dyDescent="0.2">
      <c r="A22" s="577" t="s">
        <v>1463</v>
      </c>
      <c r="B22">
        <f t="shared" si="0"/>
        <v>-14.5</v>
      </c>
      <c r="C22" s="571">
        <f t="shared" si="1"/>
        <v>3584.6300000000006</v>
      </c>
      <c r="E22" s="570">
        <v>20251114</v>
      </c>
      <c r="F22" t="s">
        <v>1364</v>
      </c>
      <c r="G22" t="s">
        <v>346</v>
      </c>
      <c r="H22" t="s">
        <v>1365</v>
      </c>
      <c r="I22" t="s">
        <v>347</v>
      </c>
      <c r="J22" t="s">
        <v>349</v>
      </c>
      <c r="K22">
        <v>-14.5</v>
      </c>
      <c r="L22" t="s">
        <v>348</v>
      </c>
      <c r="M22" t="s">
        <v>1366</v>
      </c>
    </row>
    <row r="23" spans="1:13" ht="14.25" customHeight="1" x14ac:dyDescent="0.2">
      <c r="A23" s="577" t="s">
        <v>1393</v>
      </c>
      <c r="B23">
        <f t="shared" si="0"/>
        <v>-6.57</v>
      </c>
      <c r="C23" s="571">
        <f t="shared" si="1"/>
        <v>3578.0600000000004</v>
      </c>
      <c r="E23" s="570">
        <v>20251114</v>
      </c>
      <c r="F23" t="s">
        <v>1383</v>
      </c>
      <c r="G23" t="s">
        <v>346</v>
      </c>
      <c r="H23" t="s">
        <v>1384</v>
      </c>
      <c r="I23" t="s">
        <v>347</v>
      </c>
      <c r="J23" t="s">
        <v>349</v>
      </c>
      <c r="K23">
        <v>-6.57</v>
      </c>
      <c r="L23" t="s">
        <v>348</v>
      </c>
      <c r="M23" t="s">
        <v>1385</v>
      </c>
    </row>
    <row r="24" spans="1:13" ht="14.25" customHeight="1" x14ac:dyDescent="0.2">
      <c r="A24" s="577" t="s">
        <v>136</v>
      </c>
      <c r="B24">
        <f t="shared" si="0"/>
        <v>-182.21</v>
      </c>
      <c r="C24" s="571">
        <f t="shared" si="1"/>
        <v>3395.8500000000004</v>
      </c>
      <c r="E24" s="570">
        <v>20251114</v>
      </c>
      <c r="F24" t="s">
        <v>1374</v>
      </c>
      <c r="G24" t="s">
        <v>346</v>
      </c>
      <c r="H24" t="s">
        <v>1375</v>
      </c>
      <c r="I24" t="s">
        <v>347</v>
      </c>
      <c r="J24" t="s">
        <v>349</v>
      </c>
      <c r="K24">
        <v>-182.21</v>
      </c>
      <c r="L24" t="s">
        <v>348</v>
      </c>
      <c r="M24" t="s">
        <v>1376</v>
      </c>
    </row>
    <row r="25" spans="1:13" ht="14.25" customHeight="1" x14ac:dyDescent="0.2">
      <c r="A25" s="577" t="s">
        <v>1394</v>
      </c>
      <c r="B25">
        <f t="shared" si="0"/>
        <v>-99.66</v>
      </c>
      <c r="C25" s="571">
        <f t="shared" si="1"/>
        <v>3296.1900000000005</v>
      </c>
      <c r="E25" s="570">
        <v>20251114</v>
      </c>
      <c r="F25" t="s">
        <v>1367</v>
      </c>
      <c r="G25" t="s">
        <v>346</v>
      </c>
      <c r="H25" t="s">
        <v>1368</v>
      </c>
      <c r="I25" t="s">
        <v>347</v>
      </c>
      <c r="J25" t="s">
        <v>349</v>
      </c>
      <c r="K25">
        <v>-99.66</v>
      </c>
      <c r="L25" t="s">
        <v>348</v>
      </c>
      <c r="M25" t="s">
        <v>1369</v>
      </c>
    </row>
    <row r="26" spans="1:13" ht="14.25" customHeight="1" x14ac:dyDescent="0.2">
      <c r="A26" s="577" t="s">
        <v>1396</v>
      </c>
      <c r="B26">
        <f t="shared" si="0"/>
        <v>-33.11</v>
      </c>
      <c r="C26" s="571">
        <f t="shared" si="1"/>
        <v>3263.0800000000004</v>
      </c>
      <c r="E26" s="570">
        <v>20251114</v>
      </c>
      <c r="F26" t="s">
        <v>1386</v>
      </c>
      <c r="G26" t="s">
        <v>346</v>
      </c>
      <c r="H26" t="s">
        <v>1387</v>
      </c>
      <c r="I26" t="s">
        <v>347</v>
      </c>
      <c r="J26" t="s">
        <v>349</v>
      </c>
      <c r="K26">
        <v>-33.11</v>
      </c>
      <c r="L26" t="s">
        <v>348</v>
      </c>
      <c r="M26" t="s">
        <v>1388</v>
      </c>
    </row>
    <row r="27" spans="1:13" ht="14.25" customHeight="1" x14ac:dyDescent="0.2">
      <c r="A27" s="577" t="s">
        <v>1395</v>
      </c>
      <c r="B27">
        <f t="shared" si="0"/>
        <v>-1000.25</v>
      </c>
      <c r="C27" s="571">
        <f t="shared" si="1"/>
        <v>2262.8300000000004</v>
      </c>
      <c r="E27" s="570">
        <v>20251114</v>
      </c>
      <c r="F27" t="s">
        <v>1380</v>
      </c>
      <c r="G27" t="s">
        <v>346</v>
      </c>
      <c r="H27" t="s">
        <v>1381</v>
      </c>
      <c r="I27" t="s">
        <v>347</v>
      </c>
      <c r="J27" t="s">
        <v>349</v>
      </c>
      <c r="K27">
        <v>-1000.25</v>
      </c>
      <c r="L27" t="s">
        <v>348</v>
      </c>
      <c r="M27" t="s">
        <v>1382</v>
      </c>
    </row>
    <row r="28" spans="1:13" ht="14.25" customHeight="1" x14ac:dyDescent="0.2">
      <c r="A28" s="577" t="s">
        <v>133</v>
      </c>
      <c r="B28">
        <f t="shared" si="0"/>
        <v>-236.5</v>
      </c>
      <c r="C28" s="571">
        <f t="shared" si="1"/>
        <v>2026.3300000000004</v>
      </c>
      <c r="E28" s="570">
        <v>20251114</v>
      </c>
      <c r="F28" t="s">
        <v>1370</v>
      </c>
      <c r="G28" t="s">
        <v>346</v>
      </c>
      <c r="H28" t="s">
        <v>1371</v>
      </c>
      <c r="I28" t="s">
        <v>347</v>
      </c>
      <c r="J28" t="s">
        <v>349</v>
      </c>
      <c r="K28">
        <v>-236.5</v>
      </c>
      <c r="L28" t="s">
        <v>348</v>
      </c>
      <c r="M28" t="s">
        <v>1372</v>
      </c>
    </row>
    <row r="29" spans="1:13" ht="14.25" customHeight="1" x14ac:dyDescent="0.2">
      <c r="A29" s="577" t="s">
        <v>1575</v>
      </c>
      <c r="B29">
        <f t="shared" si="0"/>
        <v>-696.7</v>
      </c>
      <c r="C29" s="571">
        <f t="shared" si="1"/>
        <v>1329.6300000000003</v>
      </c>
      <c r="E29" s="570">
        <v>20251114</v>
      </c>
      <c r="F29" t="s">
        <v>1370</v>
      </c>
      <c r="G29" t="s">
        <v>346</v>
      </c>
      <c r="H29" t="s">
        <v>1371</v>
      </c>
      <c r="I29" t="s">
        <v>347</v>
      </c>
      <c r="J29" t="s">
        <v>349</v>
      </c>
      <c r="K29">
        <v>-696.7</v>
      </c>
      <c r="L29" t="s">
        <v>348</v>
      </c>
      <c r="M29" t="s">
        <v>1373</v>
      </c>
    </row>
    <row r="30" spans="1:13" ht="14.25" customHeight="1" x14ac:dyDescent="0.2">
      <c r="A30" s="577" t="s">
        <v>1396</v>
      </c>
      <c r="B30">
        <f t="shared" si="0"/>
        <v>-32.409999999999997</v>
      </c>
      <c r="C30" s="571">
        <f t="shared" ref="C30:C93" si="2">C29+B30</f>
        <v>1297.2200000000003</v>
      </c>
      <c r="E30" s="570">
        <v>20251114</v>
      </c>
      <c r="F30" t="s">
        <v>1377</v>
      </c>
      <c r="G30" t="s">
        <v>346</v>
      </c>
      <c r="H30" t="s">
        <v>1378</v>
      </c>
      <c r="I30" t="s">
        <v>347</v>
      </c>
      <c r="J30" t="s">
        <v>349</v>
      </c>
      <c r="K30">
        <v>-32.409999999999997</v>
      </c>
      <c r="L30" t="s">
        <v>348</v>
      </c>
      <c r="M30" t="s">
        <v>1379</v>
      </c>
    </row>
    <row r="31" spans="1:13" ht="14.25" customHeight="1" x14ac:dyDescent="0.2">
      <c r="A31" s="577" t="s">
        <v>2200</v>
      </c>
      <c r="B31">
        <f t="shared" si="0"/>
        <v>43.8</v>
      </c>
      <c r="C31" s="571">
        <f t="shared" si="2"/>
        <v>1341.0200000000002</v>
      </c>
      <c r="E31" s="570">
        <v>20251117</v>
      </c>
      <c r="F31" t="s">
        <v>707</v>
      </c>
      <c r="G31" t="s">
        <v>346</v>
      </c>
      <c r="H31" t="s">
        <v>708</v>
      </c>
      <c r="I31" t="s">
        <v>704</v>
      </c>
      <c r="J31" t="s">
        <v>367</v>
      </c>
      <c r="K31">
        <v>43.8</v>
      </c>
      <c r="L31" t="s">
        <v>705</v>
      </c>
      <c r="M31" t="s">
        <v>2199</v>
      </c>
    </row>
    <row r="32" spans="1:13" ht="14.25" customHeight="1" x14ac:dyDescent="0.2">
      <c r="A32" s="577" t="s">
        <v>2200</v>
      </c>
      <c r="B32">
        <f t="shared" ref="B32:B51" si="3">K32</f>
        <v>34.65</v>
      </c>
      <c r="C32" s="571">
        <f t="shared" si="2"/>
        <v>1375.6700000000003</v>
      </c>
      <c r="E32" s="570">
        <v>20251118</v>
      </c>
      <c r="F32" t="s">
        <v>707</v>
      </c>
      <c r="G32" t="s">
        <v>346</v>
      </c>
      <c r="H32" t="s">
        <v>708</v>
      </c>
      <c r="I32" t="s">
        <v>704</v>
      </c>
      <c r="J32" t="s">
        <v>367</v>
      </c>
      <c r="K32">
        <v>34.65</v>
      </c>
      <c r="L32" t="s">
        <v>705</v>
      </c>
    </row>
    <row r="33" spans="1:13" ht="14.25" customHeight="1" x14ac:dyDescent="0.2">
      <c r="A33" s="577" t="s">
        <v>2200</v>
      </c>
      <c r="B33">
        <f t="shared" si="3"/>
        <v>53.54</v>
      </c>
      <c r="C33" s="571">
        <f t="shared" si="2"/>
        <v>1429.2100000000003</v>
      </c>
      <c r="E33" s="570">
        <v>20251119</v>
      </c>
      <c r="F33" t="s">
        <v>707</v>
      </c>
      <c r="G33" t="s">
        <v>346</v>
      </c>
      <c r="H33" t="s">
        <v>708</v>
      </c>
      <c r="I33" t="s">
        <v>704</v>
      </c>
      <c r="J33" t="s">
        <v>367</v>
      </c>
      <c r="K33">
        <v>53.54</v>
      </c>
      <c r="L33" t="s">
        <v>705</v>
      </c>
      <c r="M33" t="s">
        <v>1464</v>
      </c>
    </row>
    <row r="34" spans="1:13" ht="14.25" customHeight="1" x14ac:dyDescent="0.2">
      <c r="A34" s="577" t="s">
        <v>2200</v>
      </c>
      <c r="B34">
        <f t="shared" si="3"/>
        <v>552.35</v>
      </c>
      <c r="C34" s="571">
        <f t="shared" si="2"/>
        <v>1981.5600000000004</v>
      </c>
      <c r="E34" s="570">
        <v>20251120</v>
      </c>
      <c r="F34" t="s">
        <v>707</v>
      </c>
      <c r="G34" t="s">
        <v>346</v>
      </c>
      <c r="H34" t="s">
        <v>708</v>
      </c>
      <c r="I34" t="s">
        <v>704</v>
      </c>
      <c r="J34" t="s">
        <v>367</v>
      </c>
      <c r="K34">
        <v>552.35</v>
      </c>
      <c r="L34" t="s">
        <v>705</v>
      </c>
      <c r="M34" t="s">
        <v>1465</v>
      </c>
    </row>
    <row r="35" spans="1:13" ht="14.25" customHeight="1" x14ac:dyDescent="0.2">
      <c r="A35" s="577" t="s">
        <v>2200</v>
      </c>
      <c r="B35">
        <f t="shared" si="3"/>
        <v>84.75</v>
      </c>
      <c r="C35" s="571">
        <f t="shared" si="2"/>
        <v>2066.3100000000004</v>
      </c>
      <c r="E35" s="570">
        <v>20251121</v>
      </c>
      <c r="F35" t="s">
        <v>707</v>
      </c>
      <c r="G35" t="s">
        <v>346</v>
      </c>
      <c r="H35" t="s">
        <v>708</v>
      </c>
      <c r="I35" t="s">
        <v>704</v>
      </c>
      <c r="J35" t="s">
        <v>367</v>
      </c>
      <c r="K35">
        <v>84.75</v>
      </c>
      <c r="L35" t="s">
        <v>705</v>
      </c>
      <c r="M35" t="s">
        <v>1466</v>
      </c>
    </row>
    <row r="36" spans="1:13" ht="14.25" customHeight="1" x14ac:dyDescent="0.2">
      <c r="A36" s="573" t="s">
        <v>101</v>
      </c>
      <c r="B36">
        <f t="shared" si="3"/>
        <v>-18.14</v>
      </c>
      <c r="C36" s="571">
        <f t="shared" si="2"/>
        <v>2048.1700000000005</v>
      </c>
      <c r="E36" s="570">
        <v>20251124</v>
      </c>
      <c r="F36" t="s">
        <v>727</v>
      </c>
      <c r="G36" t="s">
        <v>346</v>
      </c>
      <c r="H36" t="s">
        <v>728</v>
      </c>
      <c r="I36" t="s">
        <v>729</v>
      </c>
      <c r="J36" t="s">
        <v>349</v>
      </c>
      <c r="K36">
        <v>-18.14</v>
      </c>
      <c r="L36" t="s">
        <v>730</v>
      </c>
      <c r="M36" t="s">
        <v>1467</v>
      </c>
    </row>
    <row r="37" spans="1:13" ht="14.25" customHeight="1" x14ac:dyDescent="0.2">
      <c r="A37" s="588" t="s">
        <v>456</v>
      </c>
      <c r="B37" s="591">
        <f t="shared" si="3"/>
        <v>20921.63</v>
      </c>
      <c r="C37" s="592">
        <f t="shared" si="2"/>
        <v>22969.800000000003</v>
      </c>
      <c r="D37" s="591"/>
      <c r="E37" s="593">
        <v>20251125</v>
      </c>
      <c r="F37" s="591" t="s">
        <v>2206</v>
      </c>
      <c r="G37" s="591" t="s">
        <v>346</v>
      </c>
      <c r="H37" s="591" t="s">
        <v>2207</v>
      </c>
      <c r="I37" t="s">
        <v>704</v>
      </c>
      <c r="J37" t="s">
        <v>367</v>
      </c>
      <c r="K37">
        <v>20921.63</v>
      </c>
      <c r="L37" t="s">
        <v>705</v>
      </c>
      <c r="M37" t="s">
        <v>1468</v>
      </c>
    </row>
    <row r="38" spans="1:13" ht="14.25" customHeight="1" x14ac:dyDescent="0.2">
      <c r="A38" s="572" t="s">
        <v>107</v>
      </c>
      <c r="B38">
        <f t="shared" si="3"/>
        <v>-39.549999999999997</v>
      </c>
      <c r="C38" s="571">
        <f t="shared" si="2"/>
        <v>22930.250000000004</v>
      </c>
      <c r="E38" s="570">
        <v>20251126</v>
      </c>
      <c r="F38" t="s">
        <v>714</v>
      </c>
      <c r="G38" t="s">
        <v>346</v>
      </c>
      <c r="I38" t="s">
        <v>715</v>
      </c>
      <c r="J38" t="s">
        <v>349</v>
      </c>
      <c r="K38">
        <v>-39.549999999999997</v>
      </c>
      <c r="L38" t="s">
        <v>716</v>
      </c>
      <c r="M38" t="s">
        <v>1471</v>
      </c>
    </row>
    <row r="39" spans="1:13" ht="14.25" customHeight="1" x14ac:dyDescent="0.2">
      <c r="A39" s="585" t="s">
        <v>2629</v>
      </c>
      <c r="B39">
        <f t="shared" si="3"/>
        <v>-325</v>
      </c>
      <c r="C39" s="571">
        <f t="shared" si="2"/>
        <v>22605.250000000004</v>
      </c>
      <c r="E39" s="570">
        <v>20251202</v>
      </c>
      <c r="F39" t="s">
        <v>2210</v>
      </c>
      <c r="G39" t="s">
        <v>346</v>
      </c>
      <c r="H39" t="s">
        <v>2211</v>
      </c>
      <c r="I39" t="s">
        <v>347</v>
      </c>
      <c r="J39" t="s">
        <v>349</v>
      </c>
      <c r="K39">
        <v>-325</v>
      </c>
      <c r="L39" t="s">
        <v>348</v>
      </c>
      <c r="M39" t="s">
        <v>1474</v>
      </c>
    </row>
    <row r="40" spans="1:13" ht="14.25" customHeight="1" x14ac:dyDescent="0.2">
      <c r="A40" s="584" t="s">
        <v>2481</v>
      </c>
      <c r="B40">
        <f t="shared" si="3"/>
        <v>-2000</v>
      </c>
      <c r="C40" s="571">
        <f t="shared" si="2"/>
        <v>20605.250000000004</v>
      </c>
      <c r="E40" s="570">
        <v>20251202</v>
      </c>
      <c r="F40" t="s">
        <v>345</v>
      </c>
      <c r="G40" t="s">
        <v>346</v>
      </c>
      <c r="I40" t="s">
        <v>347</v>
      </c>
      <c r="J40" t="s">
        <v>349</v>
      </c>
      <c r="K40">
        <v>-2000</v>
      </c>
      <c r="L40" t="s">
        <v>348</v>
      </c>
      <c r="M40" t="s">
        <v>1475</v>
      </c>
    </row>
    <row r="41" spans="1:13" ht="14.25" customHeight="1" x14ac:dyDescent="0.2">
      <c r="A41" s="594" t="s">
        <v>2781</v>
      </c>
      <c r="B41" s="591">
        <f t="shared" si="3"/>
        <v>1300</v>
      </c>
      <c r="C41" s="592">
        <f t="shared" si="2"/>
        <v>21905.250000000004</v>
      </c>
      <c r="D41" s="591"/>
      <c r="E41" s="593">
        <v>20251202</v>
      </c>
      <c r="F41" s="591" t="s">
        <v>345</v>
      </c>
      <c r="G41" s="591" t="s">
        <v>346</v>
      </c>
      <c r="H41" s="591"/>
      <c r="I41" t="s">
        <v>347</v>
      </c>
      <c r="J41" t="s">
        <v>349</v>
      </c>
      <c r="K41">
        <v>1300</v>
      </c>
      <c r="L41" t="s">
        <v>348</v>
      </c>
      <c r="M41" t="s">
        <v>1476</v>
      </c>
    </row>
    <row r="42" spans="1:13" ht="14.25" customHeight="1" x14ac:dyDescent="0.2">
      <c r="A42" s="584" t="s">
        <v>2482</v>
      </c>
      <c r="B42">
        <f t="shared" si="3"/>
        <v>-26.69</v>
      </c>
      <c r="C42" s="571">
        <f t="shared" si="2"/>
        <v>21878.560000000005</v>
      </c>
      <c r="E42" s="570">
        <v>20251202</v>
      </c>
      <c r="F42" t="s">
        <v>2215</v>
      </c>
      <c r="G42" t="s">
        <v>346</v>
      </c>
      <c r="H42" t="s">
        <v>2216</v>
      </c>
      <c r="I42" t="s">
        <v>347</v>
      </c>
      <c r="J42" t="s">
        <v>349</v>
      </c>
      <c r="K42">
        <v>-26.69</v>
      </c>
      <c r="L42" t="s">
        <v>348</v>
      </c>
      <c r="M42" t="s">
        <v>1477</v>
      </c>
    </row>
    <row r="43" spans="1:13" ht="14.25" customHeight="1" x14ac:dyDescent="0.2">
      <c r="A43" s="584" t="s">
        <v>2483</v>
      </c>
      <c r="B43">
        <f t="shared" si="3"/>
        <v>-49.81</v>
      </c>
      <c r="C43" s="571">
        <f t="shared" si="2"/>
        <v>21828.750000000004</v>
      </c>
      <c r="E43" s="570">
        <v>20251202</v>
      </c>
      <c r="F43" t="s">
        <v>783</v>
      </c>
      <c r="G43" t="s">
        <v>346</v>
      </c>
      <c r="H43" t="s">
        <v>1500</v>
      </c>
      <c r="I43" t="s">
        <v>347</v>
      </c>
      <c r="J43" t="s">
        <v>349</v>
      </c>
      <c r="K43">
        <v>-49.81</v>
      </c>
      <c r="L43" t="s">
        <v>348</v>
      </c>
      <c r="M43" t="s">
        <v>1480</v>
      </c>
    </row>
    <row r="44" spans="1:13" ht="14.25" customHeight="1" x14ac:dyDescent="0.2">
      <c r="A44" s="584" t="s">
        <v>136</v>
      </c>
      <c r="B44">
        <f t="shared" si="3"/>
        <v>-101.41</v>
      </c>
      <c r="C44" s="571">
        <f t="shared" si="2"/>
        <v>21727.340000000004</v>
      </c>
      <c r="E44" s="570">
        <v>20251202</v>
      </c>
      <c r="F44" t="s">
        <v>1364</v>
      </c>
      <c r="G44" t="s">
        <v>346</v>
      </c>
      <c r="H44" t="s">
        <v>1365</v>
      </c>
      <c r="I44" t="s">
        <v>347</v>
      </c>
      <c r="J44" t="s">
        <v>349</v>
      </c>
      <c r="K44">
        <v>-101.41</v>
      </c>
      <c r="L44" t="s">
        <v>348</v>
      </c>
      <c r="M44" t="s">
        <v>1483</v>
      </c>
    </row>
    <row r="45" spans="1:13" ht="14.25" customHeight="1" x14ac:dyDescent="0.2">
      <c r="A45" s="82" t="s">
        <v>116</v>
      </c>
      <c r="B45">
        <f t="shared" si="3"/>
        <v>-122.66</v>
      </c>
      <c r="C45" s="571">
        <f t="shared" si="2"/>
        <v>21604.680000000004</v>
      </c>
      <c r="E45" s="570">
        <v>20251202</v>
      </c>
      <c r="F45" t="s">
        <v>2220</v>
      </c>
      <c r="G45" t="s">
        <v>346</v>
      </c>
      <c r="H45" t="s">
        <v>2221</v>
      </c>
      <c r="I45" t="s">
        <v>347</v>
      </c>
      <c r="J45" t="s">
        <v>349</v>
      </c>
      <c r="K45">
        <v>-122.66</v>
      </c>
      <c r="L45" t="s">
        <v>348</v>
      </c>
      <c r="M45" t="s">
        <v>1484</v>
      </c>
    </row>
    <row r="46" spans="1:13" ht="14.25" customHeight="1" x14ac:dyDescent="0.2">
      <c r="A46" s="584" t="s">
        <v>104</v>
      </c>
      <c r="B46">
        <f t="shared" si="3"/>
        <v>-125</v>
      </c>
      <c r="C46" s="571">
        <f t="shared" si="2"/>
        <v>21479.680000000004</v>
      </c>
      <c r="E46" s="570">
        <v>20251202</v>
      </c>
      <c r="F46" t="s">
        <v>2223</v>
      </c>
      <c r="G46" t="s">
        <v>346</v>
      </c>
      <c r="H46" t="s">
        <v>2224</v>
      </c>
      <c r="I46" t="s">
        <v>347</v>
      </c>
      <c r="J46" t="s">
        <v>349</v>
      </c>
      <c r="K46">
        <v>-125</v>
      </c>
      <c r="L46" t="s">
        <v>348</v>
      </c>
      <c r="M46" t="s">
        <v>1487</v>
      </c>
    </row>
    <row r="47" spans="1:13" ht="14.25" customHeight="1" x14ac:dyDescent="0.2">
      <c r="A47" s="584" t="s">
        <v>2484</v>
      </c>
      <c r="B47">
        <f t="shared" si="3"/>
        <v>-938.5</v>
      </c>
      <c r="C47" s="571">
        <f t="shared" si="2"/>
        <v>20541.180000000004</v>
      </c>
      <c r="E47" s="570">
        <v>20251202</v>
      </c>
      <c r="F47" t="s">
        <v>2226</v>
      </c>
      <c r="G47" t="s">
        <v>346</v>
      </c>
      <c r="H47" t="s">
        <v>2227</v>
      </c>
      <c r="I47" t="s">
        <v>347</v>
      </c>
      <c r="J47" t="s">
        <v>349</v>
      </c>
      <c r="K47">
        <v>-938.5</v>
      </c>
      <c r="L47" t="s">
        <v>348</v>
      </c>
      <c r="M47" t="s">
        <v>1488</v>
      </c>
    </row>
    <row r="48" spans="1:13" ht="14.25" customHeight="1" x14ac:dyDescent="0.2">
      <c r="A48" t="s">
        <v>134</v>
      </c>
      <c r="B48">
        <f t="shared" si="3"/>
        <v>-34.17</v>
      </c>
      <c r="C48" s="571">
        <f t="shared" si="2"/>
        <v>20507.010000000006</v>
      </c>
      <c r="E48" s="570">
        <v>20251202</v>
      </c>
      <c r="F48" t="s">
        <v>2229</v>
      </c>
      <c r="G48" t="s">
        <v>346</v>
      </c>
      <c r="H48" t="s">
        <v>2230</v>
      </c>
      <c r="I48" t="s">
        <v>347</v>
      </c>
      <c r="J48" t="s">
        <v>349</v>
      </c>
      <c r="K48">
        <v>-34.17</v>
      </c>
      <c r="L48" t="s">
        <v>348</v>
      </c>
      <c r="M48" t="s">
        <v>1491</v>
      </c>
    </row>
    <row r="49" spans="1:13" ht="14.25" customHeight="1" x14ac:dyDescent="0.2">
      <c r="A49" t="s">
        <v>133</v>
      </c>
      <c r="B49">
        <f t="shared" si="3"/>
        <v>-314.25</v>
      </c>
      <c r="C49" s="571">
        <f t="shared" si="2"/>
        <v>20192.760000000006</v>
      </c>
      <c r="E49" s="570">
        <v>20251202</v>
      </c>
      <c r="F49" t="s">
        <v>2232</v>
      </c>
      <c r="G49" t="s">
        <v>346</v>
      </c>
      <c r="H49" t="s">
        <v>2233</v>
      </c>
      <c r="I49" t="s">
        <v>347</v>
      </c>
      <c r="J49" t="s">
        <v>349</v>
      </c>
      <c r="K49">
        <v>-314.25</v>
      </c>
      <c r="L49" t="s">
        <v>348</v>
      </c>
      <c r="M49" t="s">
        <v>1492</v>
      </c>
    </row>
    <row r="50" spans="1:13" ht="14.25" customHeight="1" x14ac:dyDescent="0.2">
      <c r="A50" s="577" t="s">
        <v>89</v>
      </c>
      <c r="B50">
        <f t="shared" si="3"/>
        <v>20.7</v>
      </c>
      <c r="C50" s="571">
        <f t="shared" si="2"/>
        <v>20213.460000000006</v>
      </c>
      <c r="E50" s="570">
        <v>20251205</v>
      </c>
      <c r="F50" t="s">
        <v>707</v>
      </c>
      <c r="G50" t="s">
        <v>346</v>
      </c>
      <c r="H50" t="s">
        <v>708</v>
      </c>
      <c r="I50" t="s">
        <v>704</v>
      </c>
      <c r="J50" t="s">
        <v>367</v>
      </c>
      <c r="K50">
        <v>20.7</v>
      </c>
      <c r="L50" t="s">
        <v>705</v>
      </c>
      <c r="M50" t="s">
        <v>1525</v>
      </c>
    </row>
    <row r="51" spans="1:13" ht="14.25" customHeight="1" x14ac:dyDescent="0.2">
      <c r="A51" s="577" t="s">
        <v>1571</v>
      </c>
      <c r="B51">
        <f t="shared" si="3"/>
        <v>62.85</v>
      </c>
      <c r="C51" s="571">
        <f t="shared" si="2"/>
        <v>20276.310000000005</v>
      </c>
      <c r="E51" s="570">
        <v>20251208</v>
      </c>
      <c r="F51" t="s">
        <v>1481</v>
      </c>
      <c r="G51" t="s">
        <v>346</v>
      </c>
      <c r="H51" t="s">
        <v>1482</v>
      </c>
      <c r="I51" t="s">
        <v>347</v>
      </c>
      <c r="J51" t="s">
        <v>367</v>
      </c>
      <c r="K51">
        <v>62.85</v>
      </c>
      <c r="L51" t="s">
        <v>348</v>
      </c>
      <c r="M51" t="s">
        <v>1529</v>
      </c>
    </row>
    <row r="52" spans="1:13" ht="14.25" customHeight="1" x14ac:dyDescent="0.2">
      <c r="A52" s="577" t="s">
        <v>89</v>
      </c>
      <c r="B52">
        <f t="shared" ref="B52:B92" si="4">K52</f>
        <v>13.2</v>
      </c>
      <c r="C52" s="571">
        <f t="shared" si="2"/>
        <v>20289.510000000006</v>
      </c>
      <c r="E52" s="570">
        <v>20251208</v>
      </c>
      <c r="F52" t="s">
        <v>707</v>
      </c>
      <c r="G52" t="s">
        <v>346</v>
      </c>
      <c r="H52" t="s">
        <v>708</v>
      </c>
      <c r="I52" t="s">
        <v>704</v>
      </c>
      <c r="J52" t="s">
        <v>367</v>
      </c>
      <c r="K52">
        <v>13.2</v>
      </c>
      <c r="L52" t="s">
        <v>705</v>
      </c>
      <c r="M52" t="s">
        <v>1532</v>
      </c>
    </row>
    <row r="53" spans="1:13" ht="14.25" customHeight="1" x14ac:dyDescent="0.2">
      <c r="A53" s="82" t="s">
        <v>286</v>
      </c>
      <c r="B53">
        <f t="shared" si="4"/>
        <v>-1362.5</v>
      </c>
      <c r="C53" s="571">
        <f t="shared" si="2"/>
        <v>18927.010000000006</v>
      </c>
      <c r="E53" s="570">
        <v>20251208</v>
      </c>
      <c r="F53" t="s">
        <v>1485</v>
      </c>
      <c r="G53" t="s">
        <v>346</v>
      </c>
      <c r="H53" t="s">
        <v>1486</v>
      </c>
      <c r="I53" t="s">
        <v>347</v>
      </c>
      <c r="J53" t="s">
        <v>349</v>
      </c>
      <c r="K53">
        <v>-1362.5</v>
      </c>
      <c r="L53" t="s">
        <v>348</v>
      </c>
      <c r="M53" t="s">
        <v>1533</v>
      </c>
    </row>
    <row r="54" spans="1:13" ht="14.25" customHeight="1" x14ac:dyDescent="0.2">
      <c r="A54" s="82" t="s">
        <v>104</v>
      </c>
      <c r="B54">
        <f t="shared" si="4"/>
        <v>-125</v>
      </c>
      <c r="C54" s="571">
        <f t="shared" si="2"/>
        <v>18802.010000000006</v>
      </c>
      <c r="E54" s="570">
        <v>20251208</v>
      </c>
      <c r="F54" t="s">
        <v>1364</v>
      </c>
      <c r="G54" t="s">
        <v>346</v>
      </c>
      <c r="H54" t="s">
        <v>1365</v>
      </c>
      <c r="I54" t="s">
        <v>347</v>
      </c>
      <c r="J54" t="s">
        <v>349</v>
      </c>
      <c r="K54">
        <v>-125</v>
      </c>
      <c r="L54" t="s">
        <v>348</v>
      </c>
      <c r="M54" t="s">
        <v>1536</v>
      </c>
    </row>
    <row r="55" spans="1:13" ht="14.25" customHeight="1" x14ac:dyDescent="0.2">
      <c r="A55" s="577" t="s">
        <v>1572</v>
      </c>
      <c r="B55">
        <f t="shared" si="4"/>
        <v>-444</v>
      </c>
      <c r="C55" s="571">
        <f t="shared" si="2"/>
        <v>18358.010000000006</v>
      </c>
      <c r="E55" s="570">
        <v>20251208</v>
      </c>
      <c r="F55" t="s">
        <v>1489</v>
      </c>
      <c r="G55" t="s">
        <v>346</v>
      </c>
      <c r="H55" t="s">
        <v>1490</v>
      </c>
      <c r="I55" t="s">
        <v>347</v>
      </c>
      <c r="J55" t="s">
        <v>349</v>
      </c>
      <c r="K55">
        <v>-444</v>
      </c>
      <c r="L55" t="s">
        <v>348</v>
      </c>
      <c r="M55" t="s">
        <v>1537</v>
      </c>
    </row>
    <row r="56" spans="1:13" ht="14.25" customHeight="1" x14ac:dyDescent="0.2">
      <c r="A56" s="573" t="s">
        <v>101</v>
      </c>
      <c r="B56">
        <f t="shared" si="4"/>
        <v>-18.14</v>
      </c>
      <c r="C56" s="571">
        <f t="shared" si="2"/>
        <v>18339.870000000006</v>
      </c>
      <c r="E56" s="570">
        <v>20251208</v>
      </c>
      <c r="F56" t="s">
        <v>727</v>
      </c>
      <c r="G56" t="s">
        <v>346</v>
      </c>
      <c r="H56" t="s">
        <v>728</v>
      </c>
      <c r="I56" t="s">
        <v>729</v>
      </c>
      <c r="J56" t="s">
        <v>349</v>
      </c>
      <c r="K56">
        <v>-18.14</v>
      </c>
      <c r="L56" t="s">
        <v>730</v>
      </c>
      <c r="M56" t="s">
        <v>1523</v>
      </c>
    </row>
    <row r="57" spans="1:13" ht="14.25" customHeight="1" x14ac:dyDescent="0.2">
      <c r="A57" s="577" t="s">
        <v>89</v>
      </c>
      <c r="B57">
        <f t="shared" si="4"/>
        <v>38.200000000000003</v>
      </c>
      <c r="C57" s="571">
        <f t="shared" si="2"/>
        <v>18378.070000000007</v>
      </c>
      <c r="E57" s="570">
        <v>20251209</v>
      </c>
      <c r="F57" t="s">
        <v>707</v>
      </c>
      <c r="G57" t="s">
        <v>346</v>
      </c>
      <c r="H57" t="s">
        <v>708</v>
      </c>
      <c r="I57" t="s">
        <v>704</v>
      </c>
      <c r="J57" t="s">
        <v>367</v>
      </c>
      <c r="K57">
        <v>38.200000000000003</v>
      </c>
      <c r="L57" t="s">
        <v>705</v>
      </c>
      <c r="M57" t="s">
        <v>1520</v>
      </c>
    </row>
    <row r="58" spans="1:13" ht="14.25" customHeight="1" x14ac:dyDescent="0.2">
      <c r="A58" s="577" t="s">
        <v>1571</v>
      </c>
      <c r="B58">
        <f t="shared" si="4"/>
        <v>62.85</v>
      </c>
      <c r="C58" s="571">
        <f t="shared" si="2"/>
        <v>18440.920000000006</v>
      </c>
      <c r="E58" s="570">
        <v>20251209</v>
      </c>
      <c r="F58" t="s">
        <v>1478</v>
      </c>
      <c r="G58" t="s">
        <v>346</v>
      </c>
      <c r="H58" t="s">
        <v>1479</v>
      </c>
      <c r="I58" t="s">
        <v>704</v>
      </c>
      <c r="J58" t="s">
        <v>367</v>
      </c>
      <c r="K58">
        <v>62.85</v>
      </c>
      <c r="L58" t="s">
        <v>705</v>
      </c>
      <c r="M58" t="s">
        <v>1519</v>
      </c>
    </row>
    <row r="59" spans="1:13" ht="14.25" customHeight="1" x14ac:dyDescent="0.2">
      <c r="A59" s="577" t="s">
        <v>89</v>
      </c>
      <c r="B59">
        <f t="shared" si="4"/>
        <v>84.49</v>
      </c>
      <c r="C59" s="571">
        <f t="shared" si="2"/>
        <v>18525.410000000007</v>
      </c>
      <c r="E59" s="570">
        <v>20251210</v>
      </c>
      <c r="F59" t="s">
        <v>707</v>
      </c>
      <c r="G59" t="s">
        <v>346</v>
      </c>
      <c r="H59" t="s">
        <v>708</v>
      </c>
      <c r="I59" t="s">
        <v>704</v>
      </c>
      <c r="J59" t="s">
        <v>367</v>
      </c>
      <c r="K59">
        <v>84.49</v>
      </c>
      <c r="L59" t="s">
        <v>705</v>
      </c>
      <c r="M59" t="s">
        <v>1518</v>
      </c>
    </row>
    <row r="60" spans="1:13" ht="14.25" customHeight="1" x14ac:dyDescent="0.2">
      <c r="A60" s="577" t="s">
        <v>1570</v>
      </c>
      <c r="B60">
        <f t="shared" si="4"/>
        <v>112</v>
      </c>
      <c r="C60" s="571">
        <f t="shared" si="2"/>
        <v>18637.410000000007</v>
      </c>
      <c r="E60" s="570">
        <v>20251211</v>
      </c>
      <c r="F60" t="s">
        <v>1472</v>
      </c>
      <c r="G60" t="s">
        <v>346</v>
      </c>
      <c r="H60" t="s">
        <v>1473</v>
      </c>
      <c r="I60" t="s">
        <v>704</v>
      </c>
      <c r="J60" t="s">
        <v>367</v>
      </c>
      <c r="K60">
        <v>112</v>
      </c>
      <c r="L60" t="s">
        <v>705</v>
      </c>
      <c r="M60" t="s">
        <v>1517</v>
      </c>
    </row>
    <row r="61" spans="1:13" ht="14.25" customHeight="1" x14ac:dyDescent="0.2">
      <c r="A61" s="577" t="s">
        <v>89</v>
      </c>
      <c r="B61">
        <f t="shared" si="4"/>
        <v>18.46</v>
      </c>
      <c r="C61" s="571">
        <f t="shared" si="2"/>
        <v>18655.870000000006</v>
      </c>
      <c r="E61" s="570">
        <v>20251211</v>
      </c>
      <c r="F61" t="s">
        <v>707</v>
      </c>
      <c r="G61" t="s">
        <v>346</v>
      </c>
      <c r="H61" t="s">
        <v>708</v>
      </c>
      <c r="I61" t="s">
        <v>704</v>
      </c>
      <c r="J61" t="s">
        <v>367</v>
      </c>
      <c r="K61">
        <v>18.46</v>
      </c>
      <c r="L61" t="s">
        <v>705</v>
      </c>
      <c r="M61" t="s">
        <v>1516</v>
      </c>
    </row>
    <row r="62" spans="1:13" ht="14.25" customHeight="1" x14ac:dyDescent="0.2">
      <c r="A62" s="577" t="s">
        <v>89</v>
      </c>
      <c r="B62">
        <f t="shared" si="4"/>
        <v>49.29</v>
      </c>
      <c r="C62" s="571">
        <f t="shared" si="2"/>
        <v>18705.160000000007</v>
      </c>
      <c r="E62" s="570">
        <v>20251212</v>
      </c>
      <c r="F62" t="s">
        <v>707</v>
      </c>
      <c r="G62" t="s">
        <v>346</v>
      </c>
      <c r="H62" t="s">
        <v>708</v>
      </c>
      <c r="I62" t="s">
        <v>704</v>
      </c>
      <c r="J62" t="s">
        <v>367</v>
      </c>
      <c r="K62">
        <v>49.29</v>
      </c>
      <c r="L62" t="s">
        <v>705</v>
      </c>
      <c r="M62" t="s">
        <v>1515</v>
      </c>
    </row>
    <row r="63" spans="1:13" ht="14.25" customHeight="1" x14ac:dyDescent="0.2">
      <c r="A63" s="577" t="s">
        <v>1571</v>
      </c>
      <c r="B63">
        <f t="shared" si="4"/>
        <v>62.85</v>
      </c>
      <c r="C63" s="571">
        <f t="shared" si="2"/>
        <v>18768.010000000006</v>
      </c>
      <c r="E63" s="570">
        <v>20251212</v>
      </c>
      <c r="F63" t="s">
        <v>1469</v>
      </c>
      <c r="G63" t="s">
        <v>346</v>
      </c>
      <c r="H63" t="s">
        <v>1470</v>
      </c>
      <c r="I63" t="s">
        <v>704</v>
      </c>
      <c r="J63" t="s">
        <v>367</v>
      </c>
      <c r="K63">
        <v>62.85</v>
      </c>
      <c r="L63" t="s">
        <v>705</v>
      </c>
      <c r="M63" t="s">
        <v>1513</v>
      </c>
    </row>
    <row r="64" spans="1:13" ht="14.25" customHeight="1" x14ac:dyDescent="0.2">
      <c r="A64" s="577" t="s">
        <v>1571</v>
      </c>
      <c r="B64">
        <f t="shared" si="4"/>
        <v>62.85</v>
      </c>
      <c r="C64" s="571">
        <f t="shared" si="2"/>
        <v>18830.860000000004</v>
      </c>
      <c r="E64" s="570">
        <v>20251215</v>
      </c>
      <c r="F64" t="s">
        <v>732</v>
      </c>
      <c r="G64" t="s">
        <v>346</v>
      </c>
      <c r="H64" t="s">
        <v>733</v>
      </c>
      <c r="I64" t="s">
        <v>347</v>
      </c>
      <c r="J64" t="s">
        <v>367</v>
      </c>
      <c r="K64">
        <v>62.85</v>
      </c>
      <c r="L64" t="s">
        <v>348</v>
      </c>
      <c r="M64" t="s">
        <v>1514</v>
      </c>
    </row>
    <row r="65" spans="1:13" ht="14.25" customHeight="1" x14ac:dyDescent="0.2">
      <c r="A65" s="577" t="s">
        <v>110</v>
      </c>
      <c r="B65">
        <f t="shared" si="4"/>
        <v>-33.880000000000003</v>
      </c>
      <c r="C65" s="571">
        <f t="shared" si="2"/>
        <v>18796.980000000003</v>
      </c>
      <c r="E65" s="570">
        <v>20251215</v>
      </c>
      <c r="F65" t="s">
        <v>1390</v>
      </c>
      <c r="G65" t="s">
        <v>346</v>
      </c>
      <c r="H65" t="s">
        <v>1391</v>
      </c>
      <c r="I65" t="s">
        <v>729</v>
      </c>
      <c r="J65" t="s">
        <v>349</v>
      </c>
      <c r="K65">
        <v>-33.880000000000003</v>
      </c>
      <c r="L65" t="s">
        <v>730</v>
      </c>
      <c r="M65" t="s">
        <v>1499</v>
      </c>
    </row>
    <row r="66" spans="1:13" ht="14.25" customHeight="1" x14ac:dyDescent="0.2">
      <c r="A66" s="573" t="s">
        <v>101</v>
      </c>
      <c r="B66">
        <f t="shared" si="4"/>
        <v>-18.14</v>
      </c>
      <c r="C66" s="571">
        <f t="shared" si="2"/>
        <v>18778.840000000004</v>
      </c>
      <c r="E66" s="570">
        <v>20251222</v>
      </c>
      <c r="F66" t="s">
        <v>727</v>
      </c>
      <c r="G66" t="s">
        <v>346</v>
      </c>
      <c r="H66" t="s">
        <v>728</v>
      </c>
      <c r="I66" t="s">
        <v>729</v>
      </c>
      <c r="J66" t="s">
        <v>349</v>
      </c>
      <c r="K66">
        <v>-18.14</v>
      </c>
      <c r="L66" t="s">
        <v>730</v>
      </c>
      <c r="M66" t="s">
        <v>1501</v>
      </c>
    </row>
    <row r="67" spans="1:13" ht="14.25" customHeight="1" x14ac:dyDescent="0.2">
      <c r="A67" s="572" t="s">
        <v>107</v>
      </c>
      <c r="B67">
        <f t="shared" si="4"/>
        <v>-35.74</v>
      </c>
      <c r="C67" s="571">
        <f t="shared" si="2"/>
        <v>18743.100000000002</v>
      </c>
      <c r="E67" s="570">
        <v>20251227</v>
      </c>
      <c r="F67" t="s">
        <v>714</v>
      </c>
      <c r="G67" t="s">
        <v>346</v>
      </c>
      <c r="I67" t="s">
        <v>715</v>
      </c>
      <c r="J67" t="s">
        <v>349</v>
      </c>
      <c r="K67">
        <v>-35.74</v>
      </c>
      <c r="L67" t="s">
        <v>716</v>
      </c>
      <c r="M67" t="s">
        <v>1504</v>
      </c>
    </row>
    <row r="68" spans="1:13" ht="14.25" customHeight="1" x14ac:dyDescent="0.2">
      <c r="A68" s="82" t="s">
        <v>272</v>
      </c>
      <c r="B68">
        <f t="shared" si="4"/>
        <v>-524</v>
      </c>
      <c r="C68" s="571">
        <f t="shared" si="2"/>
        <v>18219.100000000002</v>
      </c>
      <c r="E68" s="570">
        <v>20260102</v>
      </c>
      <c r="F68" t="s">
        <v>794</v>
      </c>
      <c r="G68" t="s">
        <v>346</v>
      </c>
      <c r="H68" t="s">
        <v>1524</v>
      </c>
      <c r="I68" t="s">
        <v>347</v>
      </c>
      <c r="J68" t="s">
        <v>349</v>
      </c>
      <c r="K68">
        <v>-524</v>
      </c>
      <c r="L68" t="s">
        <v>348</v>
      </c>
      <c r="M68" t="s">
        <v>1505</v>
      </c>
    </row>
    <row r="69" spans="1:13" ht="14.25" customHeight="1" x14ac:dyDescent="0.2">
      <c r="A69" s="577" t="s">
        <v>1573</v>
      </c>
      <c r="B69">
        <f t="shared" si="4"/>
        <v>-38.31</v>
      </c>
      <c r="C69" s="571">
        <f t="shared" si="2"/>
        <v>18180.79</v>
      </c>
      <c r="E69" s="570">
        <v>20260102</v>
      </c>
      <c r="F69" t="s">
        <v>1526</v>
      </c>
      <c r="G69" t="s">
        <v>346</v>
      </c>
      <c r="H69" t="s">
        <v>1527</v>
      </c>
      <c r="I69" t="s">
        <v>347</v>
      </c>
      <c r="J69" t="s">
        <v>349</v>
      </c>
      <c r="K69">
        <v>-38.31</v>
      </c>
      <c r="L69" t="s">
        <v>348</v>
      </c>
      <c r="M69" t="s">
        <v>1508</v>
      </c>
    </row>
    <row r="70" spans="1:13" ht="14.25" customHeight="1" x14ac:dyDescent="0.2">
      <c r="A70" s="577" t="s">
        <v>1574</v>
      </c>
      <c r="B70">
        <f t="shared" si="4"/>
        <v>-355</v>
      </c>
      <c r="C70" s="571">
        <f t="shared" si="2"/>
        <v>17825.79</v>
      </c>
      <c r="E70" s="570">
        <v>20260102</v>
      </c>
      <c r="F70" t="s">
        <v>1229</v>
      </c>
      <c r="G70" t="s">
        <v>346</v>
      </c>
      <c r="H70" t="s">
        <v>1528</v>
      </c>
      <c r="I70" t="s">
        <v>347</v>
      </c>
      <c r="J70" t="s">
        <v>349</v>
      </c>
      <c r="K70">
        <v>-355</v>
      </c>
      <c r="L70" t="s">
        <v>348</v>
      </c>
      <c r="M70" t="s">
        <v>1511</v>
      </c>
    </row>
    <row r="71" spans="1:13" ht="14.25" customHeight="1" x14ac:dyDescent="0.2">
      <c r="A71" s="577" t="s">
        <v>239</v>
      </c>
      <c r="B71">
        <f t="shared" si="4"/>
        <v>-20.95</v>
      </c>
      <c r="C71" s="571">
        <f t="shared" si="2"/>
        <v>17804.84</v>
      </c>
      <c r="E71" s="570">
        <v>20260102</v>
      </c>
      <c r="F71" t="s">
        <v>1530</v>
      </c>
      <c r="G71" t="s">
        <v>346</v>
      </c>
      <c r="H71" t="s">
        <v>1531</v>
      </c>
      <c r="I71" t="s">
        <v>347</v>
      </c>
      <c r="J71" t="s">
        <v>349</v>
      </c>
      <c r="K71">
        <v>-20.95</v>
      </c>
      <c r="L71" t="s">
        <v>348</v>
      </c>
      <c r="M71" t="s">
        <v>1512</v>
      </c>
    </row>
    <row r="72" spans="1:13" ht="14.25" customHeight="1" x14ac:dyDescent="0.2">
      <c r="A72" s="580" t="s">
        <v>1575</v>
      </c>
      <c r="B72">
        <f t="shared" si="4"/>
        <v>-6.95</v>
      </c>
      <c r="C72" s="571">
        <f t="shared" si="2"/>
        <v>17797.89</v>
      </c>
      <c r="E72" s="570">
        <v>20260102</v>
      </c>
      <c r="F72" t="s">
        <v>1509</v>
      </c>
      <c r="G72" t="s">
        <v>346</v>
      </c>
      <c r="H72" t="s">
        <v>1510</v>
      </c>
      <c r="I72" t="s">
        <v>347</v>
      </c>
      <c r="J72" t="s">
        <v>349</v>
      </c>
      <c r="K72">
        <v>-6.95</v>
      </c>
      <c r="L72" t="s">
        <v>348</v>
      </c>
      <c r="M72" t="s">
        <v>1495</v>
      </c>
    </row>
    <row r="73" spans="1:13" ht="14.25" customHeight="1" x14ac:dyDescent="0.2">
      <c r="A73" s="577" t="s">
        <v>133</v>
      </c>
      <c r="B73">
        <f t="shared" si="4"/>
        <v>-18.149999999999999</v>
      </c>
      <c r="C73" s="571">
        <f t="shared" si="2"/>
        <v>17779.739999999998</v>
      </c>
      <c r="E73" s="570">
        <v>20260102</v>
      </c>
      <c r="F73" t="s">
        <v>1534</v>
      </c>
      <c r="G73" t="s">
        <v>346</v>
      </c>
      <c r="H73" t="s">
        <v>1535</v>
      </c>
      <c r="I73" t="s">
        <v>347</v>
      </c>
      <c r="J73" t="s">
        <v>349</v>
      </c>
      <c r="K73">
        <v>-18.149999999999999</v>
      </c>
      <c r="L73" t="s">
        <v>348</v>
      </c>
      <c r="M73" t="s">
        <v>1496</v>
      </c>
    </row>
    <row r="74" spans="1:13" ht="14.25" customHeight="1" x14ac:dyDescent="0.2">
      <c r="A74" s="577" t="s">
        <v>1576</v>
      </c>
      <c r="B74">
        <f t="shared" si="4"/>
        <v>-26.8</v>
      </c>
      <c r="C74" s="571">
        <f t="shared" si="2"/>
        <v>17752.939999999999</v>
      </c>
      <c r="E74" s="570">
        <v>20260102</v>
      </c>
      <c r="F74" t="s">
        <v>1229</v>
      </c>
      <c r="G74" t="s">
        <v>346</v>
      </c>
      <c r="H74" t="s">
        <v>1528</v>
      </c>
      <c r="I74" t="s">
        <v>347</v>
      </c>
      <c r="J74" t="s">
        <v>349</v>
      </c>
      <c r="K74">
        <v>-26.8</v>
      </c>
      <c r="L74" t="s">
        <v>348</v>
      </c>
      <c r="M74" t="s">
        <v>1494</v>
      </c>
    </row>
    <row r="75" spans="1:13" ht="14.25" customHeight="1" x14ac:dyDescent="0.2">
      <c r="A75" s="587" t="s">
        <v>1575</v>
      </c>
      <c r="B75">
        <f>K75</f>
        <v>-285</v>
      </c>
      <c r="C75" s="571">
        <f t="shared" si="2"/>
        <v>17467.939999999999</v>
      </c>
      <c r="E75" s="570">
        <v>20260106</v>
      </c>
      <c r="F75" t="s">
        <v>1521</v>
      </c>
      <c r="G75" t="s">
        <v>346</v>
      </c>
      <c r="H75" t="s">
        <v>1522</v>
      </c>
      <c r="I75" t="s">
        <v>704</v>
      </c>
      <c r="J75" t="s">
        <v>367</v>
      </c>
      <c r="K75">
        <v>-285</v>
      </c>
      <c r="L75" t="s">
        <v>705</v>
      </c>
      <c r="M75" t="s">
        <v>1493</v>
      </c>
    </row>
    <row r="76" spans="1:13" ht="14.25" customHeight="1" x14ac:dyDescent="0.2">
      <c r="A76" s="577" t="s">
        <v>89</v>
      </c>
      <c r="B76">
        <f t="shared" si="4"/>
        <v>1.64</v>
      </c>
      <c r="C76" s="571">
        <f t="shared" si="2"/>
        <v>17469.579999999998</v>
      </c>
      <c r="E76" s="570">
        <v>20260112</v>
      </c>
      <c r="F76" t="s">
        <v>707</v>
      </c>
      <c r="G76" t="s">
        <v>346</v>
      </c>
      <c r="H76" t="s">
        <v>708</v>
      </c>
      <c r="I76" t="s">
        <v>704</v>
      </c>
      <c r="J76" t="s">
        <v>367</v>
      </c>
      <c r="K76">
        <v>1.64</v>
      </c>
      <c r="L76" t="s">
        <v>705</v>
      </c>
      <c r="M76" t="s">
        <v>2201</v>
      </c>
    </row>
    <row r="77" spans="1:13" ht="14.25" customHeight="1" x14ac:dyDescent="0.2">
      <c r="A77" s="577" t="s">
        <v>110</v>
      </c>
      <c r="B77">
        <f t="shared" si="4"/>
        <v>-33.880000000000003</v>
      </c>
      <c r="C77" s="571">
        <f t="shared" si="2"/>
        <v>17435.699999999997</v>
      </c>
      <c r="E77" s="570">
        <v>20260113</v>
      </c>
      <c r="F77" t="s">
        <v>1390</v>
      </c>
      <c r="G77" t="s">
        <v>346</v>
      </c>
      <c r="H77" t="s">
        <v>1391</v>
      </c>
      <c r="I77" t="s">
        <v>729</v>
      </c>
      <c r="J77" t="s">
        <v>349</v>
      </c>
      <c r="K77">
        <v>-33.880000000000003</v>
      </c>
      <c r="L77" t="s">
        <v>730</v>
      </c>
      <c r="M77" t="s">
        <v>2202</v>
      </c>
    </row>
    <row r="78" spans="1:13" ht="14.25" customHeight="1" x14ac:dyDescent="0.2">
      <c r="A78" s="577" t="s">
        <v>89</v>
      </c>
      <c r="B78">
        <f t="shared" si="4"/>
        <v>120.09</v>
      </c>
      <c r="C78" s="571">
        <f t="shared" si="2"/>
        <v>17555.789999999997</v>
      </c>
      <c r="E78" s="570">
        <v>20260116</v>
      </c>
      <c r="F78" t="s">
        <v>707</v>
      </c>
      <c r="G78" t="s">
        <v>346</v>
      </c>
      <c r="H78" t="s">
        <v>708</v>
      </c>
      <c r="I78" t="s">
        <v>704</v>
      </c>
      <c r="J78" t="s">
        <v>367</v>
      </c>
      <c r="K78">
        <v>120.09</v>
      </c>
      <c r="L78" t="s">
        <v>705</v>
      </c>
      <c r="M78" t="s">
        <v>2203</v>
      </c>
    </row>
    <row r="79" spans="1:13" ht="14.25" customHeight="1" x14ac:dyDescent="0.2">
      <c r="A79" s="577" t="s">
        <v>89</v>
      </c>
      <c r="B79">
        <f t="shared" si="4"/>
        <v>105.37</v>
      </c>
      <c r="C79" s="571">
        <f t="shared" si="2"/>
        <v>17661.159999999996</v>
      </c>
      <c r="E79" s="570">
        <v>20260119</v>
      </c>
      <c r="F79" t="s">
        <v>707</v>
      </c>
      <c r="G79" t="s">
        <v>346</v>
      </c>
      <c r="H79" t="s">
        <v>708</v>
      </c>
      <c r="I79" t="s">
        <v>704</v>
      </c>
      <c r="J79" t="s">
        <v>367</v>
      </c>
      <c r="K79">
        <v>105.37</v>
      </c>
      <c r="L79" t="s">
        <v>705</v>
      </c>
      <c r="M79" t="s">
        <v>2204</v>
      </c>
    </row>
    <row r="80" spans="1:13" x14ac:dyDescent="0.2">
      <c r="A80" s="577" t="s">
        <v>89</v>
      </c>
      <c r="B80">
        <f t="shared" si="4"/>
        <v>47.83</v>
      </c>
      <c r="C80" s="571">
        <f t="shared" si="2"/>
        <v>17708.989999999998</v>
      </c>
      <c r="E80" s="570">
        <v>20260120</v>
      </c>
      <c r="F80" t="s">
        <v>707</v>
      </c>
      <c r="G80" t="s">
        <v>346</v>
      </c>
      <c r="H80" t="s">
        <v>708</v>
      </c>
      <c r="I80" t="s">
        <v>704</v>
      </c>
      <c r="J80" t="s">
        <v>367</v>
      </c>
      <c r="K80">
        <v>47.83</v>
      </c>
      <c r="L80" t="s">
        <v>705</v>
      </c>
      <c r="M80" t="s">
        <v>2205</v>
      </c>
    </row>
    <row r="81" spans="1:13" ht="14.25" customHeight="1" x14ac:dyDescent="0.2">
      <c r="A81" s="577" t="s">
        <v>89</v>
      </c>
      <c r="B81">
        <f t="shared" si="4"/>
        <v>215.47</v>
      </c>
      <c r="C81" s="571">
        <f t="shared" si="2"/>
        <v>17924.46</v>
      </c>
      <c r="E81" s="570">
        <v>20260121</v>
      </c>
      <c r="F81" t="s">
        <v>707</v>
      </c>
      <c r="G81" t="s">
        <v>346</v>
      </c>
      <c r="H81" t="s">
        <v>708</v>
      </c>
      <c r="I81" t="s">
        <v>704</v>
      </c>
      <c r="J81" t="s">
        <v>367</v>
      </c>
      <c r="K81">
        <v>215.47</v>
      </c>
      <c r="L81" t="s">
        <v>705</v>
      </c>
      <c r="M81" t="s">
        <v>2208</v>
      </c>
    </row>
    <row r="82" spans="1:13" ht="14.25" customHeight="1" x14ac:dyDescent="0.2">
      <c r="A82" s="577" t="s">
        <v>89</v>
      </c>
      <c r="B82">
        <f t="shared" si="4"/>
        <v>139.79</v>
      </c>
      <c r="C82" s="571">
        <f t="shared" si="2"/>
        <v>18064.25</v>
      </c>
      <c r="E82" s="570">
        <v>20260122</v>
      </c>
      <c r="F82" t="s">
        <v>707</v>
      </c>
      <c r="G82" t="s">
        <v>346</v>
      </c>
      <c r="H82" t="s">
        <v>708</v>
      </c>
      <c r="I82" t="s">
        <v>704</v>
      </c>
      <c r="J82" t="s">
        <v>367</v>
      </c>
      <c r="K82">
        <v>139.79</v>
      </c>
      <c r="L82" t="s">
        <v>705</v>
      </c>
      <c r="M82" t="s">
        <v>2209</v>
      </c>
    </row>
    <row r="83" spans="1:13" ht="14.25" customHeight="1" x14ac:dyDescent="0.2">
      <c r="A83" s="573" t="s">
        <v>101</v>
      </c>
      <c r="B83">
        <f t="shared" si="4"/>
        <v>-19.350000000000001</v>
      </c>
      <c r="C83" s="571">
        <f t="shared" si="2"/>
        <v>18044.900000000001</v>
      </c>
      <c r="E83" s="570">
        <v>20260122</v>
      </c>
      <c r="F83" t="s">
        <v>727</v>
      </c>
      <c r="G83" t="s">
        <v>346</v>
      </c>
      <c r="H83" t="s">
        <v>728</v>
      </c>
      <c r="I83" t="s">
        <v>729</v>
      </c>
      <c r="J83" t="s">
        <v>349</v>
      </c>
      <c r="K83">
        <v>-19.350000000000001</v>
      </c>
      <c r="L83" t="s">
        <v>730</v>
      </c>
      <c r="M83" t="s">
        <v>2212</v>
      </c>
    </row>
    <row r="84" spans="1:13" ht="14.25" customHeight="1" x14ac:dyDescent="0.2">
      <c r="A84" s="82" t="s">
        <v>116</v>
      </c>
      <c r="B84">
        <f t="shared" si="4"/>
        <v>-200</v>
      </c>
      <c r="C84" s="571">
        <f t="shared" si="2"/>
        <v>17844.900000000001</v>
      </c>
      <c r="E84" s="570">
        <v>20260123</v>
      </c>
      <c r="F84" t="s">
        <v>1497</v>
      </c>
      <c r="G84" t="s">
        <v>346</v>
      </c>
      <c r="H84" t="s">
        <v>1498</v>
      </c>
      <c r="I84" t="s">
        <v>347</v>
      </c>
      <c r="J84" t="s">
        <v>349</v>
      </c>
      <c r="K84">
        <v>-200</v>
      </c>
      <c r="L84" t="s">
        <v>348</v>
      </c>
      <c r="M84" t="s">
        <v>2213</v>
      </c>
    </row>
    <row r="85" spans="1:13" ht="14.25" customHeight="1" x14ac:dyDescent="0.2">
      <c r="A85" s="577" t="s">
        <v>1577</v>
      </c>
      <c r="B85">
        <f t="shared" si="4"/>
        <v>-21</v>
      </c>
      <c r="C85" s="571">
        <f t="shared" si="2"/>
        <v>17823.900000000001</v>
      </c>
      <c r="E85" s="570">
        <v>20260123</v>
      </c>
      <c r="F85" t="s">
        <v>783</v>
      </c>
      <c r="G85" t="s">
        <v>346</v>
      </c>
      <c r="H85" t="s">
        <v>1500</v>
      </c>
      <c r="I85" t="s">
        <v>347</v>
      </c>
      <c r="J85" t="s">
        <v>349</v>
      </c>
      <c r="K85">
        <v>-21</v>
      </c>
      <c r="L85" t="s">
        <v>348</v>
      </c>
      <c r="M85" t="s">
        <v>2214</v>
      </c>
    </row>
    <row r="86" spans="1:13" ht="14.25" customHeight="1" x14ac:dyDescent="0.2">
      <c r="A86" s="82" t="s">
        <v>116</v>
      </c>
      <c r="B86">
        <f t="shared" si="4"/>
        <v>-300</v>
      </c>
      <c r="C86" s="571">
        <f t="shared" si="2"/>
        <v>17523.900000000001</v>
      </c>
      <c r="E86" s="570">
        <v>20260123</v>
      </c>
      <c r="F86" t="s">
        <v>1502</v>
      </c>
      <c r="G86" t="s">
        <v>346</v>
      </c>
      <c r="H86" t="s">
        <v>1503</v>
      </c>
      <c r="I86" t="s">
        <v>347</v>
      </c>
      <c r="J86" t="s">
        <v>349</v>
      </c>
      <c r="K86">
        <v>-300</v>
      </c>
      <c r="L86" t="s">
        <v>348</v>
      </c>
      <c r="M86" t="s">
        <v>2217</v>
      </c>
    </row>
    <row r="87" spans="1:13" ht="14.25" customHeight="1" x14ac:dyDescent="0.2">
      <c r="A87" s="577" t="s">
        <v>95</v>
      </c>
      <c r="B87">
        <f t="shared" si="4"/>
        <v>-11.99</v>
      </c>
      <c r="C87" s="571">
        <f t="shared" si="2"/>
        <v>17511.91</v>
      </c>
      <c r="E87" s="570">
        <v>20260123</v>
      </c>
      <c r="F87" t="s">
        <v>1364</v>
      </c>
      <c r="G87" t="s">
        <v>346</v>
      </c>
      <c r="H87" t="s">
        <v>1365</v>
      </c>
      <c r="I87" t="s">
        <v>347</v>
      </c>
      <c r="J87" t="s">
        <v>349</v>
      </c>
      <c r="K87">
        <v>-11.99</v>
      </c>
      <c r="L87" t="s">
        <v>348</v>
      </c>
      <c r="M87" t="s">
        <v>2218</v>
      </c>
    </row>
    <row r="88" spans="1:13" ht="14.25" customHeight="1" x14ac:dyDescent="0.2">
      <c r="A88" s="577" t="s">
        <v>1578</v>
      </c>
      <c r="B88">
        <f t="shared" si="4"/>
        <v>-1521.25</v>
      </c>
      <c r="C88" s="571">
        <f t="shared" si="2"/>
        <v>15990.66</v>
      </c>
      <c r="E88" s="570">
        <v>20260123</v>
      </c>
      <c r="F88" t="s">
        <v>1506</v>
      </c>
      <c r="G88" t="s">
        <v>346</v>
      </c>
      <c r="H88" t="s">
        <v>1507</v>
      </c>
      <c r="I88" t="s">
        <v>347</v>
      </c>
      <c r="J88" t="s">
        <v>349</v>
      </c>
      <c r="K88">
        <v>-1521.25</v>
      </c>
      <c r="L88" t="s">
        <v>348</v>
      </c>
      <c r="M88" t="s">
        <v>2219</v>
      </c>
    </row>
    <row r="89" spans="1:13" ht="14.25" customHeight="1" x14ac:dyDescent="0.2">
      <c r="A89" s="82" t="s">
        <v>104</v>
      </c>
      <c r="B89">
        <f t="shared" si="4"/>
        <v>-125</v>
      </c>
      <c r="C89" s="571">
        <f t="shared" si="2"/>
        <v>15865.66</v>
      </c>
      <c r="E89" s="570">
        <v>20260123</v>
      </c>
      <c r="F89" t="s">
        <v>1509</v>
      </c>
      <c r="G89" t="s">
        <v>346</v>
      </c>
      <c r="H89" t="s">
        <v>1510</v>
      </c>
      <c r="I89" t="s">
        <v>347</v>
      </c>
      <c r="J89" t="s">
        <v>349</v>
      </c>
      <c r="K89">
        <v>-125</v>
      </c>
      <c r="L89" t="s">
        <v>348</v>
      </c>
      <c r="M89" t="s">
        <v>2222</v>
      </c>
    </row>
    <row r="90" spans="1:13" ht="14.25" customHeight="1" x14ac:dyDescent="0.2">
      <c r="A90" s="577" t="s">
        <v>89</v>
      </c>
      <c r="B90">
        <f t="shared" si="4"/>
        <v>10.210000000000001</v>
      </c>
      <c r="C90" s="571">
        <f t="shared" si="2"/>
        <v>15875.869999999999</v>
      </c>
      <c r="E90" s="570">
        <v>20260123</v>
      </c>
      <c r="F90" t="s">
        <v>707</v>
      </c>
      <c r="G90" t="s">
        <v>346</v>
      </c>
      <c r="H90" t="s">
        <v>708</v>
      </c>
      <c r="I90" t="s">
        <v>704</v>
      </c>
      <c r="J90" t="s">
        <v>367</v>
      </c>
      <c r="K90">
        <v>10.210000000000001</v>
      </c>
      <c r="L90" t="s">
        <v>705</v>
      </c>
      <c r="M90" t="s">
        <v>2225</v>
      </c>
    </row>
    <row r="91" spans="1:13" ht="14.25" customHeight="1" x14ac:dyDescent="0.2">
      <c r="A91" s="577" t="s">
        <v>89</v>
      </c>
      <c r="B91">
        <f t="shared" si="4"/>
        <v>25.45</v>
      </c>
      <c r="C91" s="571">
        <f t="shared" si="2"/>
        <v>15901.32</v>
      </c>
      <c r="E91" s="570">
        <v>20260126</v>
      </c>
      <c r="F91" t="s">
        <v>707</v>
      </c>
      <c r="G91" t="s">
        <v>346</v>
      </c>
      <c r="H91" t="s">
        <v>708</v>
      </c>
      <c r="I91" t="s">
        <v>704</v>
      </c>
      <c r="J91" t="s">
        <v>367</v>
      </c>
      <c r="K91">
        <v>25.45</v>
      </c>
      <c r="L91" t="s">
        <v>705</v>
      </c>
      <c r="M91" t="s">
        <v>2228</v>
      </c>
    </row>
    <row r="92" spans="1:13" ht="14.25" customHeight="1" x14ac:dyDescent="0.2">
      <c r="A92" s="572" t="s">
        <v>107</v>
      </c>
      <c r="B92">
        <f t="shared" si="4"/>
        <v>-37.58</v>
      </c>
      <c r="C92" s="571">
        <f t="shared" si="2"/>
        <v>15863.74</v>
      </c>
      <c r="E92" s="570">
        <v>20260126</v>
      </c>
      <c r="F92" t="s">
        <v>714</v>
      </c>
      <c r="G92" t="s">
        <v>346</v>
      </c>
      <c r="I92" t="s">
        <v>715</v>
      </c>
      <c r="J92" t="s">
        <v>349</v>
      </c>
      <c r="K92">
        <v>-37.58</v>
      </c>
      <c r="L92" t="s">
        <v>716</v>
      </c>
      <c r="M92" t="s">
        <v>2231</v>
      </c>
    </row>
    <row r="93" spans="1:13" ht="14.25" customHeight="1" x14ac:dyDescent="0.2">
      <c r="A93" s="577" t="s">
        <v>89</v>
      </c>
      <c r="B93">
        <f t="shared" ref="B93:B146" si="5">K93</f>
        <v>25.7</v>
      </c>
      <c r="C93" s="571">
        <f t="shared" si="2"/>
        <v>15889.44</v>
      </c>
      <c r="E93" s="570">
        <v>20260127</v>
      </c>
      <c r="F93" t="s">
        <v>707</v>
      </c>
      <c r="G93" t="s">
        <v>346</v>
      </c>
      <c r="H93" t="s">
        <v>708</v>
      </c>
      <c r="I93" t="s">
        <v>704</v>
      </c>
      <c r="J93" t="s">
        <v>367</v>
      </c>
      <c r="K93">
        <v>25.7</v>
      </c>
      <c r="L93" t="s">
        <v>705</v>
      </c>
      <c r="M93" t="s">
        <v>2234</v>
      </c>
    </row>
    <row r="94" spans="1:13" ht="14.25" customHeight="1" x14ac:dyDescent="0.2">
      <c r="A94" s="577" t="s">
        <v>89</v>
      </c>
      <c r="B94">
        <f t="shared" si="5"/>
        <v>28.92</v>
      </c>
      <c r="C94" s="571">
        <f t="shared" ref="C94:C140" si="6">C93+B94</f>
        <v>15918.36</v>
      </c>
      <c r="E94" s="570">
        <v>20260128</v>
      </c>
      <c r="F94" t="s">
        <v>707</v>
      </c>
      <c r="G94" t="s">
        <v>346</v>
      </c>
      <c r="H94" t="s">
        <v>708</v>
      </c>
      <c r="I94" t="s">
        <v>704</v>
      </c>
      <c r="J94" t="s">
        <v>367</v>
      </c>
      <c r="K94">
        <v>28.92</v>
      </c>
      <c r="L94" t="s">
        <v>705</v>
      </c>
      <c r="M94" t="s">
        <v>2235</v>
      </c>
    </row>
    <row r="95" spans="1:13" ht="14.25" customHeight="1" x14ac:dyDescent="0.2">
      <c r="A95" s="577" t="s">
        <v>2533</v>
      </c>
      <c r="B95">
        <f t="shared" si="5"/>
        <v>-78.819999999999993</v>
      </c>
      <c r="C95" s="571">
        <f t="shared" si="6"/>
        <v>15839.54</v>
      </c>
      <c r="E95" s="570">
        <v>20260129</v>
      </c>
      <c r="F95" t="s">
        <v>1554</v>
      </c>
      <c r="G95" t="s">
        <v>346</v>
      </c>
      <c r="H95" t="s">
        <v>2500</v>
      </c>
      <c r="I95" t="s">
        <v>347</v>
      </c>
      <c r="J95" t="s">
        <v>349</v>
      </c>
      <c r="K95">
        <v>-78.819999999999993</v>
      </c>
      <c r="L95" t="s">
        <v>348</v>
      </c>
      <c r="M95" t="s">
        <v>2501</v>
      </c>
    </row>
    <row r="96" spans="1:13" ht="14.25" customHeight="1" x14ac:dyDescent="0.2">
      <c r="A96" s="577" t="s">
        <v>99</v>
      </c>
      <c r="B96">
        <f t="shared" si="5"/>
        <v>-104.53</v>
      </c>
      <c r="C96" s="571">
        <f t="shared" si="6"/>
        <v>15735.01</v>
      </c>
      <c r="E96" s="570">
        <v>20260129</v>
      </c>
      <c r="F96" t="s">
        <v>2502</v>
      </c>
      <c r="G96" t="s">
        <v>346</v>
      </c>
      <c r="H96" t="s">
        <v>2503</v>
      </c>
      <c r="I96" t="s">
        <v>347</v>
      </c>
      <c r="J96" t="s">
        <v>349</v>
      </c>
      <c r="K96">
        <v>-104.53</v>
      </c>
      <c r="L96" t="s">
        <v>348</v>
      </c>
      <c r="M96" t="s">
        <v>2504</v>
      </c>
    </row>
    <row r="97" spans="1:13" ht="14.25" customHeight="1" x14ac:dyDescent="0.2">
      <c r="A97" s="577" t="s">
        <v>117</v>
      </c>
      <c r="B97">
        <f t="shared" si="5"/>
        <v>-363</v>
      </c>
      <c r="C97" s="571">
        <f t="shared" si="6"/>
        <v>15372.01</v>
      </c>
      <c r="E97" s="570">
        <v>20260129</v>
      </c>
      <c r="F97" t="s">
        <v>2505</v>
      </c>
      <c r="G97" t="s">
        <v>346</v>
      </c>
      <c r="H97" t="s">
        <v>2506</v>
      </c>
      <c r="I97" t="s">
        <v>347</v>
      </c>
      <c r="J97" t="s">
        <v>349</v>
      </c>
      <c r="K97">
        <v>-363</v>
      </c>
      <c r="L97" t="s">
        <v>348</v>
      </c>
      <c r="M97" t="s">
        <v>2507</v>
      </c>
    </row>
    <row r="98" spans="1:13" ht="14.25" customHeight="1" x14ac:dyDescent="0.2">
      <c r="A98" s="577" t="s">
        <v>2534</v>
      </c>
      <c r="B98">
        <f t="shared" si="5"/>
        <v>-1764.45</v>
      </c>
      <c r="C98" s="571">
        <f t="shared" si="6"/>
        <v>13607.56</v>
      </c>
      <c r="E98" s="570">
        <v>20260129</v>
      </c>
      <c r="F98" t="s">
        <v>2508</v>
      </c>
      <c r="G98" t="s">
        <v>346</v>
      </c>
      <c r="H98" t="s">
        <v>2509</v>
      </c>
      <c r="I98" t="s">
        <v>347</v>
      </c>
      <c r="J98" t="s">
        <v>349</v>
      </c>
      <c r="K98">
        <v>-1764.45</v>
      </c>
      <c r="L98" t="s">
        <v>348</v>
      </c>
      <c r="M98" t="s">
        <v>2510</v>
      </c>
    </row>
    <row r="99" spans="1:13" ht="14.25" customHeight="1" x14ac:dyDescent="0.2">
      <c r="A99" s="577" t="s">
        <v>89</v>
      </c>
      <c r="B99">
        <f t="shared" si="5"/>
        <v>29.98</v>
      </c>
      <c r="C99" s="571">
        <f t="shared" si="6"/>
        <v>13637.539999999999</v>
      </c>
      <c r="E99" s="570">
        <v>20260129</v>
      </c>
      <c r="F99" t="s">
        <v>707</v>
      </c>
      <c r="G99" t="s">
        <v>346</v>
      </c>
      <c r="H99" t="s">
        <v>708</v>
      </c>
      <c r="I99" t="s">
        <v>704</v>
      </c>
      <c r="J99" t="s">
        <v>367</v>
      </c>
      <c r="K99">
        <v>29.98</v>
      </c>
      <c r="L99" t="s">
        <v>705</v>
      </c>
      <c r="M99" t="s">
        <v>2511</v>
      </c>
    </row>
    <row r="100" spans="1:13" ht="14.25" customHeight="1" x14ac:dyDescent="0.2">
      <c r="A100" s="577" t="s">
        <v>89</v>
      </c>
      <c r="B100">
        <f t="shared" si="5"/>
        <v>5.26</v>
      </c>
      <c r="C100" s="571">
        <f t="shared" si="6"/>
        <v>13642.8</v>
      </c>
      <c r="E100" s="570">
        <v>20260130</v>
      </c>
      <c r="F100" t="s">
        <v>707</v>
      </c>
      <c r="G100" t="s">
        <v>346</v>
      </c>
      <c r="H100" t="s">
        <v>708</v>
      </c>
      <c r="I100" t="s">
        <v>704</v>
      </c>
      <c r="J100" t="s">
        <v>367</v>
      </c>
      <c r="K100">
        <v>5.26</v>
      </c>
      <c r="L100" t="s">
        <v>705</v>
      </c>
      <c r="M100" t="s">
        <v>2512</v>
      </c>
    </row>
    <row r="101" spans="1:13" ht="14.25" customHeight="1" x14ac:dyDescent="0.2">
      <c r="A101" s="577" t="s">
        <v>89</v>
      </c>
      <c r="B101">
        <f t="shared" si="5"/>
        <v>3.62</v>
      </c>
      <c r="C101" s="571">
        <f t="shared" si="6"/>
        <v>13646.42</v>
      </c>
      <c r="E101" s="570">
        <v>20260202</v>
      </c>
      <c r="F101" t="s">
        <v>707</v>
      </c>
      <c r="G101" t="s">
        <v>346</v>
      </c>
      <c r="H101" t="s">
        <v>708</v>
      </c>
      <c r="I101" t="s">
        <v>704</v>
      </c>
      <c r="J101" t="s">
        <v>367</v>
      </c>
      <c r="K101">
        <v>3.62</v>
      </c>
      <c r="L101" t="s">
        <v>705</v>
      </c>
      <c r="M101" t="s">
        <v>2513</v>
      </c>
    </row>
    <row r="102" spans="1:13" ht="14.25" customHeight="1" x14ac:dyDescent="0.2">
      <c r="A102" s="577" t="s">
        <v>89</v>
      </c>
      <c r="B102">
        <f t="shared" si="5"/>
        <v>63.05</v>
      </c>
      <c r="C102" s="571">
        <f t="shared" si="6"/>
        <v>13709.47</v>
      </c>
      <c r="E102" s="570">
        <v>20260203</v>
      </c>
      <c r="F102" t="s">
        <v>707</v>
      </c>
      <c r="G102" t="s">
        <v>346</v>
      </c>
      <c r="H102" t="s">
        <v>708</v>
      </c>
      <c r="I102" t="s">
        <v>704</v>
      </c>
      <c r="J102" t="s">
        <v>367</v>
      </c>
      <c r="K102">
        <v>63.05</v>
      </c>
      <c r="L102" t="s">
        <v>705</v>
      </c>
      <c r="M102" t="s">
        <v>2514</v>
      </c>
    </row>
    <row r="103" spans="1:13" ht="14.25" customHeight="1" x14ac:dyDescent="0.2">
      <c r="A103" s="577" t="s">
        <v>89</v>
      </c>
      <c r="B103">
        <f t="shared" si="5"/>
        <v>21.64</v>
      </c>
      <c r="C103" s="571">
        <f t="shared" si="6"/>
        <v>13731.109999999999</v>
      </c>
      <c r="E103" s="570">
        <v>20260204</v>
      </c>
      <c r="F103" t="s">
        <v>707</v>
      </c>
      <c r="G103" t="s">
        <v>346</v>
      </c>
      <c r="H103" t="s">
        <v>708</v>
      </c>
      <c r="I103" t="s">
        <v>704</v>
      </c>
      <c r="J103" t="s">
        <v>367</v>
      </c>
      <c r="K103">
        <v>21.64</v>
      </c>
      <c r="L103" t="s">
        <v>705</v>
      </c>
      <c r="M103" t="s">
        <v>2515</v>
      </c>
    </row>
    <row r="104" spans="1:13" ht="14.25" customHeight="1" x14ac:dyDescent="0.2">
      <c r="A104" s="577" t="s">
        <v>2626</v>
      </c>
      <c r="B104">
        <f t="shared" si="5"/>
        <v>-343.75</v>
      </c>
      <c r="C104" s="571">
        <f t="shared" si="6"/>
        <v>13387.359999999999</v>
      </c>
      <c r="E104" s="570">
        <v>20260205</v>
      </c>
      <c r="F104" t="s">
        <v>2516</v>
      </c>
      <c r="G104" t="s">
        <v>346</v>
      </c>
      <c r="H104" t="s">
        <v>2517</v>
      </c>
      <c r="I104" t="s">
        <v>347</v>
      </c>
      <c r="J104" t="s">
        <v>349</v>
      </c>
      <c r="K104">
        <v>-343.75</v>
      </c>
      <c r="L104" t="s">
        <v>348</v>
      </c>
      <c r="M104" t="s">
        <v>2518</v>
      </c>
    </row>
    <row r="105" spans="1:13" ht="14.25" customHeight="1" x14ac:dyDescent="0.2">
      <c r="A105" s="577" t="s">
        <v>2627</v>
      </c>
      <c r="B105">
        <f t="shared" si="5"/>
        <v>-228</v>
      </c>
      <c r="C105" s="571">
        <f t="shared" si="6"/>
        <v>13159.359999999999</v>
      </c>
      <c r="E105" s="570">
        <v>20260205</v>
      </c>
      <c r="F105" t="s">
        <v>1509</v>
      </c>
      <c r="G105" t="s">
        <v>346</v>
      </c>
      <c r="H105" t="s">
        <v>1510</v>
      </c>
      <c r="I105" t="s">
        <v>347</v>
      </c>
      <c r="J105" t="s">
        <v>349</v>
      </c>
      <c r="K105">
        <v>-228</v>
      </c>
      <c r="L105" t="s">
        <v>348</v>
      </c>
      <c r="M105" t="s">
        <v>2519</v>
      </c>
    </row>
    <row r="106" spans="1:13" ht="14.25" customHeight="1" x14ac:dyDescent="0.2">
      <c r="A106" s="577" t="s">
        <v>2628</v>
      </c>
      <c r="B106">
        <f t="shared" si="5"/>
        <v>-19.38</v>
      </c>
      <c r="C106" s="571">
        <f t="shared" si="6"/>
        <v>13139.98</v>
      </c>
      <c r="E106" s="570">
        <v>20260205</v>
      </c>
      <c r="F106" t="s">
        <v>1526</v>
      </c>
      <c r="G106" t="s">
        <v>346</v>
      </c>
      <c r="H106" t="s">
        <v>1527</v>
      </c>
      <c r="I106" t="s">
        <v>347</v>
      </c>
      <c r="J106" t="s">
        <v>349</v>
      </c>
      <c r="K106">
        <v>-19.38</v>
      </c>
      <c r="L106" t="s">
        <v>348</v>
      </c>
      <c r="M106" t="s">
        <v>2520</v>
      </c>
    </row>
    <row r="107" spans="1:13" ht="14.25" customHeight="1" x14ac:dyDescent="0.2">
      <c r="A107" s="577" t="s">
        <v>165</v>
      </c>
      <c r="B107">
        <f t="shared" si="5"/>
        <v>-363</v>
      </c>
      <c r="C107" s="571">
        <f t="shared" si="6"/>
        <v>12776.98</v>
      </c>
      <c r="E107" s="570">
        <v>20260205</v>
      </c>
      <c r="F107" t="s">
        <v>2232</v>
      </c>
      <c r="G107" t="s">
        <v>346</v>
      </c>
      <c r="H107" t="s">
        <v>2233</v>
      </c>
      <c r="I107" t="s">
        <v>347</v>
      </c>
      <c r="J107" t="s">
        <v>349</v>
      </c>
      <c r="K107">
        <v>-363</v>
      </c>
      <c r="L107" t="s">
        <v>348</v>
      </c>
      <c r="M107" t="s">
        <v>2521</v>
      </c>
    </row>
    <row r="108" spans="1:13" ht="14.25" customHeight="1" x14ac:dyDescent="0.2">
      <c r="A108" s="577" t="s">
        <v>2626</v>
      </c>
      <c r="B108">
        <f t="shared" si="5"/>
        <v>-41.95</v>
      </c>
      <c r="C108" s="571">
        <f t="shared" si="6"/>
        <v>12735.029999999999</v>
      </c>
      <c r="E108" s="570">
        <v>20260205</v>
      </c>
      <c r="F108" t="s">
        <v>2229</v>
      </c>
      <c r="G108" t="s">
        <v>346</v>
      </c>
      <c r="H108" t="s">
        <v>2230</v>
      </c>
      <c r="I108" t="s">
        <v>347</v>
      </c>
      <c r="J108" t="s">
        <v>349</v>
      </c>
      <c r="K108">
        <v>-41.95</v>
      </c>
      <c r="L108" t="s">
        <v>348</v>
      </c>
      <c r="M108" t="s">
        <v>2522</v>
      </c>
    </row>
    <row r="109" spans="1:13" ht="14.25" customHeight="1" x14ac:dyDescent="0.2">
      <c r="A109" s="577" t="s">
        <v>95</v>
      </c>
      <c r="B109">
        <f t="shared" si="5"/>
        <v>-13.28</v>
      </c>
      <c r="C109" s="571">
        <f t="shared" si="6"/>
        <v>12721.749999999998</v>
      </c>
      <c r="E109" s="570">
        <v>20260205</v>
      </c>
      <c r="F109" t="s">
        <v>1509</v>
      </c>
      <c r="G109" t="s">
        <v>346</v>
      </c>
      <c r="H109" t="s">
        <v>1510</v>
      </c>
      <c r="I109" t="s">
        <v>347</v>
      </c>
      <c r="J109" t="s">
        <v>349</v>
      </c>
      <c r="K109">
        <v>-13.28</v>
      </c>
      <c r="L109" t="s">
        <v>348</v>
      </c>
      <c r="M109" t="s">
        <v>2523</v>
      </c>
    </row>
    <row r="110" spans="1:13" ht="14.25" customHeight="1" x14ac:dyDescent="0.2">
      <c r="A110" s="577" t="s">
        <v>2630</v>
      </c>
      <c r="B110">
        <f t="shared" si="5"/>
        <v>-589.52</v>
      </c>
      <c r="C110" s="571">
        <f t="shared" si="6"/>
        <v>12132.229999999998</v>
      </c>
      <c r="E110" s="570">
        <v>20260205</v>
      </c>
      <c r="F110" t="s">
        <v>2524</v>
      </c>
      <c r="G110" t="s">
        <v>346</v>
      </c>
      <c r="H110" t="s">
        <v>2525</v>
      </c>
      <c r="I110" t="s">
        <v>347</v>
      </c>
      <c r="J110" t="s">
        <v>349</v>
      </c>
      <c r="K110">
        <v>-589.52</v>
      </c>
      <c r="L110" t="s">
        <v>348</v>
      </c>
      <c r="M110" t="s">
        <v>2526</v>
      </c>
    </row>
    <row r="111" spans="1:13" ht="14.25" customHeight="1" x14ac:dyDescent="0.2">
      <c r="A111" s="577" t="s">
        <v>89</v>
      </c>
      <c r="B111">
        <f t="shared" si="5"/>
        <v>28.86</v>
      </c>
      <c r="C111" s="571">
        <f t="shared" si="6"/>
        <v>12161.089999999998</v>
      </c>
      <c r="E111" s="570">
        <v>20260205</v>
      </c>
      <c r="F111" t="s">
        <v>707</v>
      </c>
      <c r="G111" t="s">
        <v>346</v>
      </c>
      <c r="H111" t="s">
        <v>708</v>
      </c>
      <c r="I111" t="s">
        <v>704</v>
      </c>
      <c r="J111" t="s">
        <v>367</v>
      </c>
      <c r="K111">
        <v>28.86</v>
      </c>
      <c r="L111" t="s">
        <v>705</v>
      </c>
      <c r="M111" t="s">
        <v>2527</v>
      </c>
    </row>
    <row r="112" spans="1:13" ht="14.25" customHeight="1" x14ac:dyDescent="0.2">
      <c r="A112" s="577" t="s">
        <v>89</v>
      </c>
      <c r="B112">
        <f t="shared" si="5"/>
        <v>192.79</v>
      </c>
      <c r="C112" s="571">
        <f t="shared" si="6"/>
        <v>12353.88</v>
      </c>
      <c r="E112" s="570">
        <v>20260206</v>
      </c>
      <c r="F112" t="s">
        <v>707</v>
      </c>
      <c r="G112" t="s">
        <v>346</v>
      </c>
      <c r="H112" t="s">
        <v>708</v>
      </c>
      <c r="I112" t="s">
        <v>704</v>
      </c>
      <c r="J112" t="s">
        <v>367</v>
      </c>
      <c r="K112">
        <v>192.79</v>
      </c>
      <c r="L112" t="s">
        <v>705</v>
      </c>
      <c r="M112" t="s">
        <v>2528</v>
      </c>
    </row>
    <row r="113" spans="1:13" ht="14.25" customHeight="1" x14ac:dyDescent="0.2">
      <c r="A113" s="577" t="s">
        <v>91</v>
      </c>
      <c r="B113">
        <f t="shared" si="5"/>
        <v>-20</v>
      </c>
      <c r="C113" s="571">
        <f t="shared" si="6"/>
        <v>12333.88</v>
      </c>
      <c r="E113" s="570">
        <v>20260206</v>
      </c>
      <c r="F113" t="s">
        <v>2529</v>
      </c>
      <c r="G113" t="s">
        <v>346</v>
      </c>
      <c r="H113" t="s">
        <v>2530</v>
      </c>
      <c r="I113" t="s">
        <v>729</v>
      </c>
      <c r="J113" t="s">
        <v>349</v>
      </c>
      <c r="K113">
        <v>-20</v>
      </c>
      <c r="L113" t="s">
        <v>730</v>
      </c>
      <c r="M113" t="s">
        <v>2531</v>
      </c>
    </row>
    <row r="114" spans="1:13" ht="14.25" customHeight="1" x14ac:dyDescent="0.2">
      <c r="A114" s="82"/>
      <c r="B114">
        <f t="shared" si="5"/>
        <v>0</v>
      </c>
      <c r="C114" s="571">
        <f t="shared" si="6"/>
        <v>12333.88</v>
      </c>
      <c r="E114" s="590"/>
      <c r="F114" s="87"/>
      <c r="K114" s="82"/>
    </row>
    <row r="115" spans="1:13" ht="14.25" customHeight="1" x14ac:dyDescent="0.2">
      <c r="A115" s="82"/>
      <c r="B115">
        <f t="shared" si="5"/>
        <v>0</v>
      </c>
      <c r="C115" s="571">
        <f t="shared" si="6"/>
        <v>12333.88</v>
      </c>
      <c r="K115" s="82"/>
    </row>
    <row r="116" spans="1:13" ht="14.25" customHeight="1" x14ac:dyDescent="0.2">
      <c r="A116" s="82"/>
      <c r="B116">
        <f t="shared" si="5"/>
        <v>0</v>
      </c>
      <c r="C116" s="571">
        <f t="shared" si="6"/>
        <v>12333.88</v>
      </c>
      <c r="E116" s="87"/>
      <c r="K116" s="82"/>
    </row>
    <row r="117" spans="1:13" ht="14.25" customHeight="1" x14ac:dyDescent="0.2">
      <c r="A117" s="82"/>
      <c r="B117">
        <f t="shared" si="5"/>
        <v>0</v>
      </c>
      <c r="C117" s="571">
        <f t="shared" si="6"/>
        <v>12333.88</v>
      </c>
      <c r="E117" s="87"/>
      <c r="K117" s="82"/>
    </row>
    <row r="118" spans="1:13" ht="14.25" customHeight="1" x14ac:dyDescent="0.2">
      <c r="A118" s="82"/>
      <c r="B118">
        <f t="shared" si="5"/>
        <v>0</v>
      </c>
      <c r="C118" s="571">
        <f t="shared" si="6"/>
        <v>12333.88</v>
      </c>
      <c r="E118" s="87"/>
      <c r="K118" s="82"/>
    </row>
    <row r="119" spans="1:13" ht="14.25" customHeight="1" x14ac:dyDescent="0.2">
      <c r="A119" s="82"/>
      <c r="B119">
        <f t="shared" si="5"/>
        <v>0</v>
      </c>
      <c r="C119" s="571">
        <f t="shared" si="6"/>
        <v>12333.88</v>
      </c>
      <c r="E119" s="87"/>
      <c r="K119" s="82"/>
    </row>
    <row r="120" spans="1:13" ht="14.25" customHeight="1" x14ac:dyDescent="0.2">
      <c r="A120" s="82"/>
      <c r="B120">
        <f t="shared" si="5"/>
        <v>0</v>
      </c>
      <c r="C120" s="571">
        <f t="shared" si="6"/>
        <v>12333.88</v>
      </c>
      <c r="E120" s="87"/>
      <c r="K120" s="82"/>
    </row>
    <row r="121" spans="1:13" ht="14.25" customHeight="1" x14ac:dyDescent="0.2">
      <c r="A121" s="82"/>
      <c r="B121">
        <f t="shared" si="5"/>
        <v>0</v>
      </c>
      <c r="C121" s="571">
        <f t="shared" si="6"/>
        <v>12333.88</v>
      </c>
      <c r="E121" s="87"/>
      <c r="K121" s="82"/>
    </row>
    <row r="122" spans="1:13" ht="14.25" customHeight="1" x14ac:dyDescent="0.2">
      <c r="A122" s="82"/>
      <c r="B122">
        <f t="shared" si="5"/>
        <v>0</v>
      </c>
      <c r="C122" s="571">
        <f t="shared" si="6"/>
        <v>12333.88</v>
      </c>
      <c r="E122" s="87"/>
      <c r="K122" s="82"/>
    </row>
    <row r="123" spans="1:13" ht="14.25" customHeight="1" x14ac:dyDescent="0.2">
      <c r="A123" s="82"/>
      <c r="B123">
        <f t="shared" si="5"/>
        <v>0</v>
      </c>
      <c r="C123" s="571">
        <f t="shared" si="6"/>
        <v>12333.88</v>
      </c>
      <c r="E123" s="87"/>
      <c r="K123" s="82"/>
    </row>
    <row r="124" spans="1:13" ht="14.25" customHeight="1" x14ac:dyDescent="0.2">
      <c r="A124" s="82"/>
      <c r="B124">
        <f t="shared" si="5"/>
        <v>0</v>
      </c>
      <c r="C124" s="571">
        <f t="shared" si="6"/>
        <v>12333.88</v>
      </c>
      <c r="E124" s="87"/>
      <c r="K124" s="82"/>
    </row>
    <row r="125" spans="1:13" ht="14.25" customHeight="1" x14ac:dyDescent="0.2">
      <c r="A125" s="82"/>
      <c r="B125">
        <f t="shared" si="5"/>
        <v>0</v>
      </c>
      <c r="C125" s="571">
        <f t="shared" si="6"/>
        <v>12333.88</v>
      </c>
      <c r="E125" s="87"/>
      <c r="K125" s="82"/>
    </row>
    <row r="126" spans="1:13" ht="14.25" customHeight="1" x14ac:dyDescent="0.2">
      <c r="A126" s="82"/>
      <c r="B126">
        <f t="shared" si="5"/>
        <v>0</v>
      </c>
      <c r="C126" s="571">
        <f t="shared" si="6"/>
        <v>12333.88</v>
      </c>
      <c r="E126" s="87"/>
      <c r="K126" s="82"/>
    </row>
    <row r="127" spans="1:13" ht="14.25" customHeight="1" x14ac:dyDescent="0.2">
      <c r="A127" s="82"/>
      <c r="B127">
        <f t="shared" si="5"/>
        <v>0</v>
      </c>
      <c r="C127" s="571">
        <f t="shared" si="6"/>
        <v>12333.88</v>
      </c>
      <c r="E127" s="87"/>
      <c r="K127" s="82"/>
    </row>
    <row r="128" spans="1:13" ht="14.25" customHeight="1" x14ac:dyDescent="0.2">
      <c r="A128" s="82"/>
      <c r="B128">
        <f t="shared" si="5"/>
        <v>0</v>
      </c>
      <c r="C128" s="571">
        <f t="shared" si="6"/>
        <v>12333.88</v>
      </c>
      <c r="E128" s="87"/>
      <c r="K128" s="82"/>
    </row>
    <row r="129" spans="1:11" ht="14.25" customHeight="1" x14ac:dyDescent="0.2">
      <c r="A129" s="82"/>
      <c r="B129">
        <f t="shared" si="5"/>
        <v>0</v>
      </c>
      <c r="C129" s="571">
        <f t="shared" si="6"/>
        <v>12333.88</v>
      </c>
      <c r="E129" s="87"/>
      <c r="K129" s="82"/>
    </row>
    <row r="130" spans="1:11" ht="14.25" customHeight="1" x14ac:dyDescent="0.2">
      <c r="A130" s="82"/>
      <c r="B130">
        <f t="shared" si="5"/>
        <v>0</v>
      </c>
      <c r="C130" s="571">
        <f t="shared" si="6"/>
        <v>12333.88</v>
      </c>
      <c r="E130" s="87"/>
      <c r="K130" s="82"/>
    </row>
    <row r="131" spans="1:11" ht="14.25" customHeight="1" x14ac:dyDescent="0.2">
      <c r="A131" s="82"/>
      <c r="B131">
        <f t="shared" si="5"/>
        <v>0</v>
      </c>
      <c r="C131" s="571">
        <f t="shared" si="6"/>
        <v>12333.88</v>
      </c>
      <c r="E131" s="87"/>
      <c r="K131" s="82"/>
    </row>
    <row r="132" spans="1:11" ht="14.25" customHeight="1" x14ac:dyDescent="0.2">
      <c r="A132" s="82"/>
      <c r="B132">
        <f t="shared" si="5"/>
        <v>0</v>
      </c>
      <c r="C132" s="571">
        <f t="shared" si="6"/>
        <v>12333.88</v>
      </c>
      <c r="E132" s="87"/>
      <c r="K132" s="82"/>
    </row>
    <row r="133" spans="1:11" ht="14.25" customHeight="1" x14ac:dyDescent="0.2">
      <c r="A133" s="82"/>
      <c r="B133">
        <f t="shared" si="5"/>
        <v>0</v>
      </c>
      <c r="C133" s="571">
        <f t="shared" si="6"/>
        <v>12333.88</v>
      </c>
      <c r="E133" s="87"/>
      <c r="K133" s="82"/>
    </row>
    <row r="134" spans="1:11" ht="14.25" customHeight="1" x14ac:dyDescent="0.2">
      <c r="A134" s="82"/>
      <c r="B134">
        <f t="shared" si="5"/>
        <v>0</v>
      </c>
      <c r="C134" s="571">
        <f t="shared" si="6"/>
        <v>12333.88</v>
      </c>
      <c r="E134" s="87"/>
      <c r="K134" s="82"/>
    </row>
    <row r="135" spans="1:11" ht="14.25" customHeight="1" x14ac:dyDescent="0.2">
      <c r="A135" s="82"/>
      <c r="B135">
        <f t="shared" si="5"/>
        <v>0</v>
      </c>
      <c r="C135" s="571">
        <f t="shared" si="6"/>
        <v>12333.88</v>
      </c>
      <c r="E135" s="87"/>
      <c r="K135" s="82"/>
    </row>
    <row r="136" spans="1:11" ht="14.25" customHeight="1" x14ac:dyDescent="0.2">
      <c r="A136" s="82"/>
      <c r="B136">
        <f t="shared" si="5"/>
        <v>0</v>
      </c>
      <c r="C136" s="571">
        <f t="shared" si="6"/>
        <v>12333.88</v>
      </c>
      <c r="E136" s="87"/>
      <c r="K136" s="82"/>
    </row>
    <row r="137" spans="1:11" ht="14.25" customHeight="1" x14ac:dyDescent="0.2">
      <c r="A137" s="82"/>
      <c r="B137">
        <f t="shared" si="5"/>
        <v>0</v>
      </c>
      <c r="C137" s="571">
        <f t="shared" si="6"/>
        <v>12333.88</v>
      </c>
      <c r="E137" s="87"/>
      <c r="K137" s="82"/>
    </row>
    <row r="138" spans="1:11" ht="14.25" customHeight="1" x14ac:dyDescent="0.2">
      <c r="A138" s="82"/>
      <c r="B138">
        <f t="shared" si="5"/>
        <v>0</v>
      </c>
      <c r="C138" s="571">
        <f t="shared" si="6"/>
        <v>12333.88</v>
      </c>
      <c r="E138" s="87"/>
      <c r="K138" s="82"/>
    </row>
    <row r="139" spans="1:11" ht="14.25" customHeight="1" x14ac:dyDescent="0.2">
      <c r="A139" s="82"/>
      <c r="B139">
        <f t="shared" si="5"/>
        <v>0</v>
      </c>
      <c r="C139" s="571">
        <f t="shared" si="6"/>
        <v>12333.88</v>
      </c>
      <c r="E139" s="87"/>
      <c r="K139" s="82"/>
    </row>
    <row r="140" spans="1:11" ht="14.25" customHeight="1" x14ac:dyDescent="0.2">
      <c r="A140" s="82"/>
      <c r="B140">
        <f t="shared" si="5"/>
        <v>0</v>
      </c>
      <c r="C140" s="571">
        <f t="shared" si="6"/>
        <v>12333.88</v>
      </c>
      <c r="E140" s="87"/>
      <c r="K140" s="82"/>
    </row>
    <row r="141" spans="1:11" ht="14.25" customHeight="1" x14ac:dyDescent="0.2">
      <c r="A141" s="82"/>
      <c r="B141">
        <f t="shared" si="5"/>
        <v>0</v>
      </c>
      <c r="C141" s="571">
        <f t="shared" ref="C141:C165" si="7">C140+B141</f>
        <v>12333.88</v>
      </c>
      <c r="E141" s="87"/>
      <c r="K141" s="82"/>
    </row>
    <row r="142" spans="1:11" ht="14.25" customHeight="1" x14ac:dyDescent="0.2">
      <c r="A142" s="82"/>
      <c r="B142">
        <f t="shared" si="5"/>
        <v>0</v>
      </c>
      <c r="C142" s="571">
        <f t="shared" si="7"/>
        <v>12333.88</v>
      </c>
      <c r="E142" s="87"/>
      <c r="K142" s="82"/>
    </row>
    <row r="143" spans="1:11" ht="14.25" customHeight="1" x14ac:dyDescent="0.2">
      <c r="A143" s="82"/>
      <c r="B143">
        <f t="shared" si="5"/>
        <v>0</v>
      </c>
      <c r="C143" s="571">
        <f t="shared" si="7"/>
        <v>12333.88</v>
      </c>
      <c r="E143" s="87"/>
      <c r="K143" s="82"/>
    </row>
    <row r="144" spans="1:11" ht="14.25" customHeight="1" x14ac:dyDescent="0.2">
      <c r="A144" s="82"/>
      <c r="B144">
        <f t="shared" si="5"/>
        <v>0</v>
      </c>
      <c r="C144" s="571">
        <f t="shared" si="7"/>
        <v>12333.88</v>
      </c>
      <c r="E144" s="87"/>
      <c r="K144" s="82"/>
    </row>
    <row r="145" spans="1:11" ht="14.25" customHeight="1" x14ac:dyDescent="0.2">
      <c r="A145" s="82"/>
      <c r="B145">
        <f t="shared" si="5"/>
        <v>0</v>
      </c>
      <c r="C145" s="571">
        <f t="shared" si="7"/>
        <v>12333.88</v>
      </c>
      <c r="E145" s="87"/>
      <c r="K145" s="82"/>
    </row>
    <row r="146" spans="1:11" ht="14.25" customHeight="1" x14ac:dyDescent="0.2">
      <c r="A146" s="82"/>
      <c r="B146">
        <f t="shared" si="5"/>
        <v>0</v>
      </c>
      <c r="C146" s="571">
        <f t="shared" si="7"/>
        <v>12333.88</v>
      </c>
      <c r="E146" s="87"/>
      <c r="K146" s="82"/>
    </row>
    <row r="147" spans="1:11" ht="14.25" customHeight="1" x14ac:dyDescent="0.2">
      <c r="A147" s="82"/>
      <c r="C147" s="571">
        <f t="shared" si="7"/>
        <v>12333.88</v>
      </c>
      <c r="E147" s="87"/>
      <c r="K147" s="82"/>
    </row>
    <row r="148" spans="1:11" ht="14.25" customHeight="1" x14ac:dyDescent="0.2">
      <c r="A148" s="82"/>
      <c r="C148" s="571">
        <f t="shared" si="7"/>
        <v>12333.88</v>
      </c>
      <c r="E148" s="87"/>
      <c r="K148" s="82"/>
    </row>
    <row r="149" spans="1:11" ht="14.25" customHeight="1" x14ac:dyDescent="0.2">
      <c r="A149" s="82"/>
      <c r="C149" s="571">
        <f t="shared" si="7"/>
        <v>12333.88</v>
      </c>
      <c r="E149" s="87"/>
      <c r="K149" s="82"/>
    </row>
    <row r="150" spans="1:11" ht="14.25" customHeight="1" x14ac:dyDescent="0.2">
      <c r="A150" s="82"/>
      <c r="C150" s="571">
        <f t="shared" si="7"/>
        <v>12333.88</v>
      </c>
      <c r="E150" s="87"/>
      <c r="K150" s="82"/>
    </row>
    <row r="151" spans="1:11" ht="14.25" customHeight="1" x14ac:dyDescent="0.2">
      <c r="A151" s="82"/>
      <c r="C151" s="571">
        <f t="shared" si="7"/>
        <v>12333.88</v>
      </c>
      <c r="E151" s="87"/>
      <c r="K151" s="82"/>
    </row>
    <row r="152" spans="1:11" ht="14.25" customHeight="1" x14ac:dyDescent="0.2">
      <c r="A152" s="82"/>
      <c r="C152" s="571">
        <f t="shared" si="7"/>
        <v>12333.88</v>
      </c>
      <c r="E152" s="87"/>
      <c r="K152" s="82"/>
    </row>
    <row r="153" spans="1:11" ht="14.25" customHeight="1" x14ac:dyDescent="0.2">
      <c r="A153" s="82"/>
      <c r="C153" s="571">
        <f t="shared" si="7"/>
        <v>12333.88</v>
      </c>
      <c r="E153" s="87"/>
      <c r="K153" s="82"/>
    </row>
    <row r="154" spans="1:11" ht="14.25" customHeight="1" x14ac:dyDescent="0.2">
      <c r="A154" s="82"/>
      <c r="C154" s="571">
        <f t="shared" si="7"/>
        <v>12333.88</v>
      </c>
      <c r="E154" s="87"/>
      <c r="K154" s="82"/>
    </row>
    <row r="155" spans="1:11" ht="14.25" customHeight="1" x14ac:dyDescent="0.2">
      <c r="A155" s="82"/>
      <c r="C155" s="571">
        <f t="shared" si="7"/>
        <v>12333.88</v>
      </c>
      <c r="E155" s="87"/>
      <c r="K155" s="82"/>
    </row>
    <row r="156" spans="1:11" ht="14.25" customHeight="1" x14ac:dyDescent="0.2">
      <c r="A156" s="82"/>
      <c r="C156" s="571">
        <f t="shared" si="7"/>
        <v>12333.88</v>
      </c>
      <c r="E156" s="87"/>
      <c r="K156" s="82"/>
    </row>
    <row r="157" spans="1:11" ht="14.25" customHeight="1" x14ac:dyDescent="0.2">
      <c r="A157" s="82"/>
      <c r="C157" s="571">
        <f t="shared" si="7"/>
        <v>12333.88</v>
      </c>
      <c r="E157" s="87"/>
      <c r="K157" s="82"/>
    </row>
    <row r="158" spans="1:11" ht="14.25" customHeight="1" x14ac:dyDescent="0.2">
      <c r="A158" s="82"/>
      <c r="C158" s="571">
        <f t="shared" si="7"/>
        <v>12333.88</v>
      </c>
      <c r="E158" s="87"/>
      <c r="K158" s="82"/>
    </row>
    <row r="159" spans="1:11" ht="14.25" customHeight="1" x14ac:dyDescent="0.2">
      <c r="C159" s="571">
        <f t="shared" si="7"/>
        <v>12333.88</v>
      </c>
      <c r="E159" s="87"/>
      <c r="K159" s="82"/>
    </row>
    <row r="160" spans="1:11" ht="14.25" customHeight="1" x14ac:dyDescent="0.2">
      <c r="C160" s="571">
        <f t="shared" si="7"/>
        <v>12333.88</v>
      </c>
      <c r="E160" s="87"/>
      <c r="K160" s="82"/>
    </row>
    <row r="161" spans="1:31" ht="14.25" customHeight="1" x14ac:dyDescent="0.2">
      <c r="A161" s="1"/>
      <c r="B161" s="1"/>
      <c r="C161" s="571">
        <f t="shared" si="7"/>
        <v>12333.88</v>
      </c>
      <c r="D161" s="1"/>
      <c r="E161" s="87"/>
      <c r="K161" s="82"/>
    </row>
    <row r="162" spans="1:31" ht="14.25" customHeight="1" x14ac:dyDescent="0.2">
      <c r="C162" s="571">
        <f t="shared" si="7"/>
        <v>12333.88</v>
      </c>
      <c r="E162" s="87"/>
      <c r="K162" s="82"/>
    </row>
    <row r="163" spans="1:31" ht="14.25" customHeight="1" x14ac:dyDescent="0.2">
      <c r="C163" s="571">
        <f t="shared" si="7"/>
        <v>12333.88</v>
      </c>
      <c r="E163" s="87"/>
      <c r="K163" s="82"/>
      <c r="M163" s="1"/>
      <c r="N163" s="1"/>
      <c r="O163" s="1"/>
      <c r="P163" s="1"/>
      <c r="Q163" s="1"/>
      <c r="R163" s="1"/>
      <c r="S163" s="1"/>
      <c r="T163" s="1"/>
      <c r="U163" s="1"/>
      <c r="V163" s="1"/>
      <c r="W163" s="1"/>
      <c r="X163" s="1"/>
      <c r="Y163" s="1"/>
      <c r="Z163" s="1"/>
      <c r="AA163" s="1"/>
      <c r="AB163" s="1"/>
      <c r="AC163" s="1"/>
      <c r="AD163" s="1"/>
      <c r="AE163" s="1"/>
    </row>
    <row r="164" spans="1:31" ht="14.25" customHeight="1" x14ac:dyDescent="0.2">
      <c r="C164" s="571">
        <f t="shared" si="7"/>
        <v>12333.88</v>
      </c>
      <c r="E164" s="87"/>
      <c r="K164" s="82"/>
    </row>
    <row r="165" spans="1:31" ht="14.25" customHeight="1" x14ac:dyDescent="0.2">
      <c r="C165" s="571">
        <f t="shared" si="7"/>
        <v>12333.88</v>
      </c>
      <c r="E165" s="87"/>
      <c r="K165" s="82"/>
    </row>
    <row r="166" spans="1:31" ht="14.25" customHeight="1" x14ac:dyDescent="0.2">
      <c r="E166" s="87"/>
      <c r="K166" s="82"/>
    </row>
    <row r="167" spans="1:31" ht="14.25" customHeight="1" x14ac:dyDescent="0.2">
      <c r="E167" s="87"/>
      <c r="K167" s="82"/>
    </row>
    <row r="168" spans="1:31" ht="14.25" customHeight="1" x14ac:dyDescent="0.2">
      <c r="E168" s="87"/>
      <c r="K168" s="82"/>
    </row>
    <row r="169" spans="1:31" ht="14.25" customHeight="1" x14ac:dyDescent="0.2">
      <c r="E169" s="87"/>
      <c r="K169" s="82"/>
    </row>
    <row r="170" spans="1:31" ht="14.25" customHeight="1" x14ac:dyDescent="0.2">
      <c r="E170" s="87"/>
      <c r="K170" s="82"/>
    </row>
    <row r="171" spans="1:31" ht="14.25" customHeight="1" x14ac:dyDescent="0.2">
      <c r="E171" s="87"/>
      <c r="K171" s="82"/>
    </row>
    <row r="172" spans="1:31" ht="14.25" customHeight="1" x14ac:dyDescent="0.2">
      <c r="E172" s="87"/>
      <c r="K172" s="82"/>
    </row>
    <row r="173" spans="1:31" ht="14.25" customHeight="1" x14ac:dyDescent="0.2">
      <c r="E173" s="87"/>
      <c r="K173" s="82"/>
    </row>
    <row r="174" spans="1:31" ht="14.25" customHeight="1" x14ac:dyDescent="0.2">
      <c r="E174" s="87"/>
      <c r="K174" s="82"/>
    </row>
    <row r="175" spans="1:31" ht="14.25" customHeight="1" x14ac:dyDescent="0.2">
      <c r="E175" s="87"/>
      <c r="K175" s="82"/>
    </row>
    <row r="176" spans="1:31" ht="14.25" customHeight="1" x14ac:dyDescent="0.2">
      <c r="E176" s="87"/>
      <c r="K176" s="82"/>
    </row>
    <row r="177" spans="1:31" ht="14.25" customHeight="1" x14ac:dyDescent="0.2">
      <c r="E177" s="87"/>
      <c r="K177" s="82"/>
    </row>
    <row r="178" spans="1:31" ht="14.25" customHeight="1" x14ac:dyDescent="0.2"/>
    <row r="179" spans="1:31" ht="14.25" customHeight="1" x14ac:dyDescent="0.2"/>
    <row r="180" spans="1:31" ht="14.25" customHeight="1" x14ac:dyDescent="0.2">
      <c r="E180" s="1"/>
      <c r="F180" s="1"/>
      <c r="G180" s="1"/>
      <c r="H180" s="1"/>
      <c r="I180" s="1"/>
      <c r="J180" s="1"/>
      <c r="K180" s="1"/>
      <c r="L180" s="1"/>
    </row>
    <row r="181" spans="1:31" ht="14.25" customHeight="1" x14ac:dyDescent="0.2"/>
    <row r="182" spans="1:31" ht="14.25" customHeight="1" x14ac:dyDescent="0.2"/>
    <row r="183" spans="1:31" ht="14.25" customHeight="1" x14ac:dyDescent="0.2"/>
    <row r="184" spans="1:31" ht="14.25" customHeight="1" x14ac:dyDescent="0.2"/>
    <row r="185" spans="1:31" ht="14.25" customHeight="1" x14ac:dyDescent="0.2"/>
    <row r="186" spans="1:31" ht="14.25" customHeight="1" x14ac:dyDescent="0.2"/>
    <row r="187" spans="1:31" ht="14.25" customHeight="1" x14ac:dyDescent="0.2"/>
    <row r="188" spans="1:31" ht="14.25" customHeight="1" x14ac:dyDescent="0.2">
      <c r="A188" s="91"/>
      <c r="B188" s="91"/>
      <c r="C188" s="91"/>
      <c r="D188" s="91"/>
    </row>
    <row r="189" spans="1:31" ht="14.25" customHeight="1" x14ac:dyDescent="0.2"/>
    <row r="190" spans="1:31" ht="14.25" customHeight="1" x14ac:dyDescent="0.2">
      <c r="M190" s="91"/>
      <c r="N190" s="91"/>
      <c r="O190" s="91"/>
      <c r="P190" s="91"/>
      <c r="Q190" s="91"/>
      <c r="R190" s="91"/>
      <c r="S190" s="91"/>
      <c r="T190" s="91"/>
      <c r="U190" s="91"/>
      <c r="V190" s="91"/>
      <c r="W190" s="91"/>
      <c r="X190" s="91"/>
      <c r="Y190" s="91"/>
      <c r="Z190" s="91"/>
      <c r="AA190" s="91"/>
      <c r="AB190" s="91"/>
      <c r="AC190" s="91"/>
      <c r="AD190" s="91"/>
      <c r="AE190" s="91"/>
    </row>
    <row r="191" spans="1:31" ht="14.25" customHeight="1" x14ac:dyDescent="0.2">
      <c r="A191" s="82"/>
    </row>
    <row r="192" spans="1:31" ht="14.25" customHeight="1" x14ac:dyDescent="0.2">
      <c r="A192" s="82"/>
    </row>
    <row r="193" spans="1:12" ht="14.25" customHeight="1" x14ac:dyDescent="0.2">
      <c r="A193" s="82"/>
    </row>
    <row r="194" spans="1:12" ht="14.25" customHeight="1" x14ac:dyDescent="0.2">
      <c r="A194" s="82"/>
    </row>
    <row r="195" spans="1:12" ht="14.25" customHeight="1" x14ac:dyDescent="0.2">
      <c r="A195" s="82"/>
    </row>
    <row r="196" spans="1:12" ht="14.25" customHeight="1" x14ac:dyDescent="0.2">
      <c r="A196" s="82"/>
    </row>
    <row r="197" spans="1:12" ht="14.25" customHeight="1" x14ac:dyDescent="0.2">
      <c r="A197" s="82"/>
    </row>
    <row r="198" spans="1:12" ht="14.25" customHeight="1" x14ac:dyDescent="0.2">
      <c r="A198" s="82"/>
    </row>
    <row r="199" spans="1:12" ht="14.25" customHeight="1" x14ac:dyDescent="0.2">
      <c r="A199" s="82"/>
    </row>
    <row r="200" spans="1:12" ht="14.25" customHeight="1" x14ac:dyDescent="0.2">
      <c r="A200" s="82"/>
    </row>
    <row r="201" spans="1:12" ht="14.25" customHeight="1" x14ac:dyDescent="0.2">
      <c r="A201" s="82"/>
    </row>
    <row r="202" spans="1:12" ht="14.25" customHeight="1" x14ac:dyDescent="0.2">
      <c r="A202" s="82"/>
    </row>
    <row r="203" spans="1:12" ht="14.25" customHeight="1" x14ac:dyDescent="0.2">
      <c r="A203" s="82"/>
    </row>
    <row r="204" spans="1:12" ht="14.25" customHeight="1" x14ac:dyDescent="0.2">
      <c r="A204" s="82"/>
    </row>
    <row r="205" spans="1:12" ht="14.25" customHeight="1" x14ac:dyDescent="0.2">
      <c r="A205" s="82"/>
    </row>
    <row r="206" spans="1:12" ht="14.25" customHeight="1" x14ac:dyDescent="0.2">
      <c r="A206" s="82"/>
    </row>
    <row r="207" spans="1:12" ht="14.25" customHeight="1" x14ac:dyDescent="0.2">
      <c r="A207" s="82"/>
      <c r="E207" s="91"/>
      <c r="F207" s="91"/>
      <c r="G207" s="91"/>
      <c r="H207" s="91"/>
      <c r="I207" s="91"/>
      <c r="J207" s="91"/>
      <c r="K207" s="91"/>
      <c r="L207" s="91"/>
    </row>
    <row r="208" spans="1:12" ht="14.25" customHeight="1" x14ac:dyDescent="0.2">
      <c r="A208" s="82"/>
    </row>
    <row r="209" spans="1:11" ht="14.25" customHeight="1" x14ac:dyDescent="0.2">
      <c r="A209" s="82"/>
    </row>
    <row r="210" spans="1:11" ht="14.25" customHeight="1" x14ac:dyDescent="0.2">
      <c r="A210" s="82"/>
      <c r="E210" s="87"/>
      <c r="K210" s="82"/>
    </row>
    <row r="211" spans="1:11" ht="14.25" customHeight="1" x14ac:dyDescent="0.2">
      <c r="A211" s="82"/>
      <c r="E211" s="87"/>
      <c r="K211" s="82"/>
    </row>
    <row r="212" spans="1:11" ht="14.25" customHeight="1" x14ac:dyDescent="0.2">
      <c r="A212" s="82"/>
      <c r="E212" s="87"/>
      <c r="K212" s="82"/>
    </row>
    <row r="213" spans="1:11" ht="14.25" customHeight="1" x14ac:dyDescent="0.2">
      <c r="A213" s="82"/>
      <c r="E213" s="87"/>
      <c r="K213" s="82"/>
    </row>
    <row r="214" spans="1:11" ht="14.25" customHeight="1" x14ac:dyDescent="0.2">
      <c r="A214" s="82"/>
      <c r="E214" s="87"/>
      <c r="K214" s="82"/>
    </row>
    <row r="215" spans="1:11" ht="14.25" customHeight="1" x14ac:dyDescent="0.2">
      <c r="A215" s="82"/>
      <c r="E215" s="87"/>
      <c r="K215" s="82"/>
    </row>
    <row r="216" spans="1:11" ht="14.25" customHeight="1" x14ac:dyDescent="0.2">
      <c r="A216" s="82"/>
      <c r="E216" s="87"/>
      <c r="K216" s="82"/>
    </row>
    <row r="217" spans="1:11" ht="14.25" customHeight="1" x14ac:dyDescent="0.2">
      <c r="A217" s="82"/>
      <c r="E217" s="87"/>
      <c r="K217" s="82"/>
    </row>
    <row r="218" spans="1:11" ht="14.25" customHeight="1" x14ac:dyDescent="0.2">
      <c r="A218" s="82"/>
      <c r="E218" s="87"/>
      <c r="K218" s="82"/>
    </row>
    <row r="219" spans="1:11" ht="14.25" customHeight="1" x14ac:dyDescent="0.2">
      <c r="A219" s="82"/>
      <c r="E219" s="87"/>
      <c r="K219" s="82"/>
    </row>
    <row r="220" spans="1:11" ht="14.25" customHeight="1" x14ac:dyDescent="0.2">
      <c r="A220" s="82"/>
      <c r="E220" s="87"/>
      <c r="K220" s="82"/>
    </row>
    <row r="221" spans="1:11" ht="14.25" customHeight="1" x14ac:dyDescent="0.2">
      <c r="A221" s="82"/>
      <c r="E221" s="87"/>
      <c r="K221" s="82"/>
    </row>
    <row r="222" spans="1:11" ht="14.25" customHeight="1" x14ac:dyDescent="0.2">
      <c r="A222" s="82"/>
      <c r="E222" s="87"/>
      <c r="K222" s="82"/>
    </row>
    <row r="223" spans="1:11" ht="14.25" customHeight="1" x14ac:dyDescent="0.2">
      <c r="A223" s="82"/>
      <c r="E223" s="87"/>
      <c r="K223" s="82"/>
    </row>
    <row r="224" spans="1:11" ht="14.25" customHeight="1" x14ac:dyDescent="0.2">
      <c r="A224" s="82"/>
      <c r="E224" s="87"/>
      <c r="K224" s="82"/>
    </row>
    <row r="225" spans="1:11" ht="14.25" customHeight="1" x14ac:dyDescent="0.2">
      <c r="A225" s="82"/>
      <c r="E225" s="87"/>
      <c r="K225" s="82"/>
    </row>
    <row r="226" spans="1:11" ht="14.25" customHeight="1" x14ac:dyDescent="0.2">
      <c r="A226" s="82"/>
      <c r="E226" s="87"/>
      <c r="K226" s="82"/>
    </row>
    <row r="227" spans="1:11" ht="14.25" customHeight="1" x14ac:dyDescent="0.2">
      <c r="A227" s="82"/>
      <c r="E227" s="87"/>
      <c r="K227" s="82"/>
    </row>
    <row r="228" spans="1:11" ht="14.25" customHeight="1" x14ac:dyDescent="0.2">
      <c r="A228" s="82"/>
      <c r="E228" s="87"/>
      <c r="K228" s="82"/>
    </row>
    <row r="229" spans="1:11" ht="14.25" customHeight="1" x14ac:dyDescent="0.2">
      <c r="A229" s="82"/>
      <c r="E229" s="87"/>
      <c r="K229" s="82"/>
    </row>
    <row r="230" spans="1:11" ht="14.25" customHeight="1" x14ac:dyDescent="0.2">
      <c r="A230" s="82"/>
      <c r="E230" s="87"/>
      <c r="K230" s="82"/>
    </row>
    <row r="231" spans="1:11" ht="14.25" customHeight="1" x14ac:dyDescent="0.2">
      <c r="A231" s="82"/>
      <c r="E231" s="87"/>
      <c r="K231" s="82"/>
    </row>
    <row r="232" spans="1:11" ht="14.25" customHeight="1" x14ac:dyDescent="0.2">
      <c r="A232" s="82"/>
      <c r="E232" s="87"/>
      <c r="K232" s="82"/>
    </row>
    <row r="233" spans="1:11" ht="14.25" customHeight="1" x14ac:dyDescent="0.2">
      <c r="A233" s="82"/>
      <c r="E233" s="87"/>
      <c r="K233" s="82"/>
    </row>
    <row r="234" spans="1:11" ht="14.25" customHeight="1" x14ac:dyDescent="0.2">
      <c r="A234" s="82"/>
      <c r="E234" s="87"/>
      <c r="K234" s="82"/>
    </row>
    <row r="235" spans="1:11" ht="14.25" customHeight="1" x14ac:dyDescent="0.2">
      <c r="A235" s="82"/>
      <c r="E235" s="87"/>
      <c r="K235" s="82"/>
    </row>
    <row r="236" spans="1:11" ht="14.25" customHeight="1" x14ac:dyDescent="0.2">
      <c r="A236" s="82"/>
      <c r="E236" s="87"/>
      <c r="K236" s="82"/>
    </row>
    <row r="237" spans="1:11" ht="14.25" customHeight="1" x14ac:dyDescent="0.2">
      <c r="A237" s="82"/>
      <c r="E237" s="87"/>
      <c r="K237" s="82"/>
    </row>
    <row r="238" spans="1:11" ht="14.25" customHeight="1" x14ac:dyDescent="0.2">
      <c r="A238" s="82"/>
      <c r="E238" s="87"/>
      <c r="K238" s="82"/>
    </row>
    <row r="239" spans="1:11" ht="14.25" customHeight="1" x14ac:dyDescent="0.2">
      <c r="A239" s="82"/>
      <c r="E239" s="87"/>
      <c r="K239" s="82"/>
    </row>
    <row r="240" spans="1:11" ht="14.25" customHeight="1" x14ac:dyDescent="0.2">
      <c r="A240" s="82"/>
      <c r="E240" s="87"/>
      <c r="K240" s="82"/>
    </row>
    <row r="241" spans="1:11" ht="14.25" customHeight="1" x14ac:dyDescent="0.2">
      <c r="A241" s="82"/>
      <c r="E241" s="87"/>
      <c r="K241" s="82"/>
    </row>
    <row r="242" spans="1:11" ht="14.25" customHeight="1" x14ac:dyDescent="0.2">
      <c r="A242" s="82"/>
      <c r="E242" s="87"/>
      <c r="K242" s="82"/>
    </row>
    <row r="243" spans="1:11" ht="14.25" customHeight="1" x14ac:dyDescent="0.2">
      <c r="A243" s="82"/>
      <c r="E243" s="87"/>
      <c r="K243" s="82"/>
    </row>
    <row r="244" spans="1:11" ht="14.25" customHeight="1" x14ac:dyDescent="0.2">
      <c r="A244" s="82"/>
      <c r="E244" s="87"/>
      <c r="K244" s="82"/>
    </row>
    <row r="245" spans="1:11" ht="14.25" customHeight="1" x14ac:dyDescent="0.2">
      <c r="A245" s="82"/>
      <c r="E245" s="87"/>
      <c r="K245" s="82"/>
    </row>
    <row r="246" spans="1:11" ht="14.25" customHeight="1" x14ac:dyDescent="0.2">
      <c r="A246" s="82"/>
      <c r="E246" s="87"/>
      <c r="K246" s="82"/>
    </row>
    <row r="247" spans="1:11" ht="14.25" customHeight="1" x14ac:dyDescent="0.2">
      <c r="A247" s="82"/>
      <c r="E247" s="87"/>
      <c r="K247" s="82"/>
    </row>
    <row r="248" spans="1:11" ht="14.25" customHeight="1" x14ac:dyDescent="0.2">
      <c r="A248" s="82"/>
      <c r="E248" s="87"/>
      <c r="K248" s="82"/>
    </row>
    <row r="249" spans="1:11" ht="14.25" customHeight="1" x14ac:dyDescent="0.2">
      <c r="A249" s="82"/>
      <c r="E249" s="87"/>
      <c r="K249" s="82"/>
    </row>
    <row r="250" spans="1:11" ht="14.25" customHeight="1" x14ac:dyDescent="0.2">
      <c r="A250" s="82"/>
      <c r="E250" s="87"/>
      <c r="K250" s="82"/>
    </row>
    <row r="251" spans="1:11" ht="14.25" customHeight="1" x14ac:dyDescent="0.2">
      <c r="A251" s="82"/>
      <c r="E251" s="87"/>
      <c r="K251" s="82"/>
    </row>
    <row r="252" spans="1:11" ht="14.25" customHeight="1" x14ac:dyDescent="0.2">
      <c r="A252" s="82"/>
      <c r="E252" s="87"/>
      <c r="K252" s="82"/>
    </row>
    <row r="253" spans="1:11" ht="14.25" customHeight="1" x14ac:dyDescent="0.2">
      <c r="A253" s="82"/>
      <c r="E253" s="87"/>
      <c r="K253" s="82"/>
    </row>
    <row r="254" spans="1:11" ht="14.25" customHeight="1" x14ac:dyDescent="0.2">
      <c r="A254" s="82"/>
      <c r="E254" s="87"/>
      <c r="K254" s="82"/>
    </row>
    <row r="255" spans="1:11" ht="14.25" customHeight="1" x14ac:dyDescent="0.2">
      <c r="A255" s="82"/>
      <c r="E255" s="87"/>
      <c r="K255" s="82"/>
    </row>
    <row r="256" spans="1:11" ht="14.25" customHeight="1" x14ac:dyDescent="0.2">
      <c r="A256" s="82"/>
      <c r="E256" s="87"/>
      <c r="K256" s="82"/>
    </row>
    <row r="257" spans="1:11" ht="14.25" customHeight="1" x14ac:dyDescent="0.2">
      <c r="A257" s="82"/>
      <c r="E257" s="87"/>
      <c r="K257" s="82"/>
    </row>
    <row r="258" spans="1:11" ht="14.25" customHeight="1" x14ac:dyDescent="0.2">
      <c r="A258" s="82"/>
      <c r="E258" s="87"/>
      <c r="K258" s="82"/>
    </row>
    <row r="259" spans="1:11" ht="14.25" customHeight="1" x14ac:dyDescent="0.2">
      <c r="A259" s="82"/>
      <c r="E259" s="87"/>
      <c r="K259" s="82"/>
    </row>
    <row r="260" spans="1:11" ht="14.25" customHeight="1" x14ac:dyDescent="0.2">
      <c r="A260" s="82"/>
      <c r="E260" s="87"/>
      <c r="K260" s="82"/>
    </row>
    <row r="261" spans="1:11" ht="14.25" customHeight="1" x14ac:dyDescent="0.2">
      <c r="A261" s="82"/>
      <c r="E261" s="87"/>
      <c r="K261" s="82"/>
    </row>
    <row r="262" spans="1:11" ht="14.25" customHeight="1" x14ac:dyDescent="0.2">
      <c r="A262" s="82"/>
      <c r="E262" s="87"/>
      <c r="K262" s="82"/>
    </row>
    <row r="263" spans="1:11" ht="14.25" customHeight="1" x14ac:dyDescent="0.2">
      <c r="A263" s="82"/>
      <c r="E263" s="87"/>
      <c r="K263" s="82"/>
    </row>
    <row r="264" spans="1:11" ht="14.25" customHeight="1" x14ac:dyDescent="0.2">
      <c r="A264" s="82"/>
      <c r="E264" s="87"/>
      <c r="K264" s="82"/>
    </row>
    <row r="265" spans="1:11" ht="14.25" customHeight="1" x14ac:dyDescent="0.2">
      <c r="A265" s="82"/>
      <c r="E265" s="87"/>
      <c r="K265" s="82"/>
    </row>
    <row r="266" spans="1:11" ht="14.25" customHeight="1" x14ac:dyDescent="0.2">
      <c r="A266" s="82"/>
      <c r="E266" s="87"/>
      <c r="K266" s="82"/>
    </row>
    <row r="267" spans="1:11" ht="14.25" customHeight="1" x14ac:dyDescent="0.2">
      <c r="A267" s="82"/>
      <c r="E267" s="87"/>
      <c r="K267" s="82"/>
    </row>
    <row r="268" spans="1:11" ht="14.25" customHeight="1" x14ac:dyDescent="0.2">
      <c r="A268" s="82"/>
      <c r="E268" s="87"/>
      <c r="K268" s="82"/>
    </row>
    <row r="269" spans="1:11" ht="14.25" customHeight="1" x14ac:dyDescent="0.2">
      <c r="A269" s="82"/>
      <c r="E269" s="87"/>
      <c r="K269" s="82"/>
    </row>
    <row r="270" spans="1:11" ht="14.25" customHeight="1" x14ac:dyDescent="0.2">
      <c r="A270" s="82"/>
      <c r="E270" s="87"/>
      <c r="K270" s="82"/>
    </row>
    <row r="271" spans="1:11" ht="14.25" customHeight="1" x14ac:dyDescent="0.2">
      <c r="A271" s="82"/>
      <c r="E271" s="87"/>
      <c r="K271" s="82"/>
    </row>
    <row r="272" spans="1:11" ht="14.25" customHeight="1" x14ac:dyDescent="0.2">
      <c r="A272" s="82"/>
      <c r="E272" s="87"/>
      <c r="K272" s="82"/>
    </row>
    <row r="273" spans="1:11" ht="14.25" customHeight="1" x14ac:dyDescent="0.2">
      <c r="A273" s="82"/>
      <c r="E273" s="87"/>
      <c r="K273" s="82"/>
    </row>
    <row r="274" spans="1:11" ht="14.25" customHeight="1" x14ac:dyDescent="0.2">
      <c r="A274" s="82"/>
      <c r="E274" s="87"/>
      <c r="K274" s="82"/>
    </row>
    <row r="275" spans="1:11" ht="14.25" customHeight="1" x14ac:dyDescent="0.2">
      <c r="A275" s="82"/>
      <c r="E275" s="87"/>
      <c r="K275" s="82"/>
    </row>
    <row r="276" spans="1:11" ht="14.25" customHeight="1" x14ac:dyDescent="0.2">
      <c r="A276" s="82"/>
      <c r="E276" s="87"/>
      <c r="K276" s="82"/>
    </row>
    <row r="277" spans="1:11" ht="14.25" customHeight="1" x14ac:dyDescent="0.2">
      <c r="A277" s="82"/>
      <c r="E277" s="87"/>
      <c r="K277" s="82"/>
    </row>
    <row r="278" spans="1:11" ht="14.25" customHeight="1" x14ac:dyDescent="0.2">
      <c r="A278" s="82"/>
      <c r="E278" s="87"/>
      <c r="K278" s="82"/>
    </row>
    <row r="279" spans="1:11" ht="14.25" customHeight="1" x14ac:dyDescent="0.2">
      <c r="A279" s="82"/>
      <c r="E279" s="87"/>
      <c r="K279" s="82"/>
    </row>
    <row r="280" spans="1:11" ht="14.25" customHeight="1" x14ac:dyDescent="0.2">
      <c r="A280" s="82"/>
      <c r="E280" s="87"/>
      <c r="K280" s="82"/>
    </row>
    <row r="281" spans="1:11" ht="14.25" customHeight="1" x14ac:dyDescent="0.2">
      <c r="A281" s="82"/>
      <c r="E281" s="87"/>
      <c r="K281" s="82"/>
    </row>
    <row r="282" spans="1:11" ht="14.25" customHeight="1" x14ac:dyDescent="0.2">
      <c r="A282" s="82"/>
      <c r="E282" s="87"/>
      <c r="K282" s="82"/>
    </row>
    <row r="283" spans="1:11" ht="14.25" customHeight="1" x14ac:dyDescent="0.2">
      <c r="A283" s="82"/>
      <c r="E283" s="87"/>
      <c r="K283" s="82"/>
    </row>
    <row r="284" spans="1:11" ht="14.25" customHeight="1" x14ac:dyDescent="0.2">
      <c r="A284" s="82"/>
      <c r="E284" s="87"/>
      <c r="K284" s="82"/>
    </row>
    <row r="285" spans="1:11" ht="14.25" customHeight="1" x14ac:dyDescent="0.2">
      <c r="A285" s="82"/>
      <c r="E285" s="87"/>
      <c r="K285" s="82"/>
    </row>
    <row r="286" spans="1:11" ht="14.25" customHeight="1" x14ac:dyDescent="0.2">
      <c r="A286" s="82"/>
      <c r="E286" s="87"/>
      <c r="K286" s="82"/>
    </row>
    <row r="287" spans="1:11" ht="14.25" customHeight="1" x14ac:dyDescent="0.2">
      <c r="A287" s="82"/>
      <c r="E287" s="87"/>
      <c r="K287" s="82"/>
    </row>
    <row r="288" spans="1:11" ht="14.25" customHeight="1" x14ac:dyDescent="0.2">
      <c r="A288" s="82"/>
      <c r="E288" s="87"/>
      <c r="K288" s="82"/>
    </row>
    <row r="289" spans="1:11" ht="14.25" customHeight="1" x14ac:dyDescent="0.2">
      <c r="A289" s="82"/>
      <c r="E289" s="87"/>
      <c r="K289" s="82"/>
    </row>
    <row r="290" spans="1:11" ht="14.25" customHeight="1" x14ac:dyDescent="0.2">
      <c r="A290" s="82"/>
      <c r="E290" s="87"/>
      <c r="K290" s="82"/>
    </row>
    <row r="291" spans="1:11" ht="14.25" customHeight="1" x14ac:dyDescent="0.2">
      <c r="A291" s="82"/>
      <c r="E291" s="87"/>
      <c r="K291" s="82"/>
    </row>
    <row r="292" spans="1:11" ht="14.25" customHeight="1" x14ac:dyDescent="0.2">
      <c r="A292" s="82"/>
      <c r="E292" s="87"/>
      <c r="K292" s="82"/>
    </row>
    <row r="293" spans="1:11" ht="14.25" customHeight="1" x14ac:dyDescent="0.2">
      <c r="A293" s="82"/>
      <c r="E293" s="87"/>
      <c r="K293" s="82"/>
    </row>
    <row r="294" spans="1:11" ht="14.25" customHeight="1" x14ac:dyDescent="0.2">
      <c r="A294" s="82"/>
      <c r="E294" s="87"/>
      <c r="K294" s="82"/>
    </row>
    <row r="295" spans="1:11" ht="14.25" customHeight="1" x14ac:dyDescent="0.2">
      <c r="A295" s="82"/>
      <c r="E295" s="87"/>
      <c r="K295" s="82"/>
    </row>
    <row r="296" spans="1:11" ht="14.25" customHeight="1" x14ac:dyDescent="0.2">
      <c r="A296" s="82"/>
      <c r="E296" s="87"/>
      <c r="K296" s="82"/>
    </row>
    <row r="297" spans="1:11" ht="14.25" customHeight="1" x14ac:dyDescent="0.2">
      <c r="A297" s="82"/>
      <c r="E297" s="87"/>
      <c r="K297" s="82"/>
    </row>
    <row r="298" spans="1:11" ht="14.25" customHeight="1" x14ac:dyDescent="0.2">
      <c r="A298" s="82"/>
      <c r="E298" s="87"/>
      <c r="K298" s="82"/>
    </row>
    <row r="299" spans="1:11" ht="14.25" customHeight="1" x14ac:dyDescent="0.2">
      <c r="A299" s="82"/>
      <c r="E299" s="87"/>
      <c r="K299" s="82"/>
    </row>
    <row r="300" spans="1:11" ht="14.25" customHeight="1" x14ac:dyDescent="0.2">
      <c r="A300" s="82"/>
      <c r="E300" s="87"/>
      <c r="K300" s="82"/>
    </row>
    <row r="301" spans="1:11" ht="14.25" customHeight="1" x14ac:dyDescent="0.2">
      <c r="A301" s="82"/>
      <c r="E301" s="87"/>
      <c r="K301" s="82"/>
    </row>
    <row r="302" spans="1:11" ht="14.25" customHeight="1" x14ac:dyDescent="0.2">
      <c r="A302" s="82"/>
      <c r="E302" s="87"/>
      <c r="K302" s="82"/>
    </row>
    <row r="303" spans="1:11" ht="14.25" customHeight="1" x14ac:dyDescent="0.2">
      <c r="A303" s="82"/>
      <c r="E303" s="87"/>
      <c r="K303" s="82"/>
    </row>
    <row r="304" spans="1:11" ht="14.25" customHeight="1" x14ac:dyDescent="0.2">
      <c r="A304" s="82"/>
      <c r="E304" s="87"/>
      <c r="K304" s="82"/>
    </row>
    <row r="305" spans="1:11" ht="14.25" customHeight="1" x14ac:dyDescent="0.2">
      <c r="A305" s="82"/>
      <c r="E305" s="87"/>
      <c r="K305" s="82"/>
    </row>
    <row r="306" spans="1:11" ht="14.25" customHeight="1" x14ac:dyDescent="0.2">
      <c r="A306" s="82"/>
      <c r="E306" s="87"/>
      <c r="K306" s="82"/>
    </row>
    <row r="307" spans="1:11" ht="14.25" customHeight="1" x14ac:dyDescent="0.2">
      <c r="A307" s="82"/>
      <c r="E307" s="87"/>
      <c r="K307" s="82"/>
    </row>
    <row r="308" spans="1:11" ht="14.25" customHeight="1" x14ac:dyDescent="0.2">
      <c r="A308" s="82"/>
      <c r="E308" s="87"/>
      <c r="K308" s="82"/>
    </row>
    <row r="309" spans="1:11" ht="14.25" customHeight="1" x14ac:dyDescent="0.2">
      <c r="A309" s="82"/>
      <c r="E309" s="87"/>
      <c r="K309" s="82"/>
    </row>
    <row r="310" spans="1:11" ht="14.25" customHeight="1" x14ac:dyDescent="0.2">
      <c r="A310" s="82"/>
      <c r="E310" s="87"/>
      <c r="K310" s="82"/>
    </row>
    <row r="311" spans="1:11" ht="14.25" customHeight="1" x14ac:dyDescent="0.2">
      <c r="A311" s="82"/>
      <c r="E311" s="87"/>
      <c r="K311" s="82"/>
    </row>
    <row r="312" spans="1:11" ht="14.25" customHeight="1" x14ac:dyDescent="0.2">
      <c r="A312" s="82"/>
      <c r="E312" s="87"/>
      <c r="K312" s="82"/>
    </row>
    <row r="313" spans="1:11" ht="14.25" customHeight="1" x14ac:dyDescent="0.2">
      <c r="A313" s="82"/>
      <c r="E313" s="87"/>
      <c r="K313" s="82"/>
    </row>
    <row r="314" spans="1:11" ht="14.25" customHeight="1" x14ac:dyDescent="0.2">
      <c r="A314" s="82"/>
      <c r="E314" s="87"/>
      <c r="K314" s="82"/>
    </row>
    <row r="315" spans="1:11" ht="14.25" customHeight="1" x14ac:dyDescent="0.2">
      <c r="A315" s="82"/>
      <c r="E315" s="87"/>
      <c r="K315" s="82"/>
    </row>
    <row r="316" spans="1:11" ht="14.25" customHeight="1" x14ac:dyDescent="0.2">
      <c r="A316" s="82"/>
      <c r="E316" s="87"/>
      <c r="K316" s="82"/>
    </row>
    <row r="317" spans="1:11" ht="14.25" customHeight="1" x14ac:dyDescent="0.2">
      <c r="A317" s="82"/>
      <c r="E317" s="87"/>
      <c r="K317" s="82"/>
    </row>
    <row r="318" spans="1:11" ht="14.25" customHeight="1" x14ac:dyDescent="0.2">
      <c r="A318" s="82"/>
      <c r="E318" s="87"/>
      <c r="K318" s="82"/>
    </row>
    <row r="319" spans="1:11" ht="14.25" customHeight="1" x14ac:dyDescent="0.2">
      <c r="A319" s="82"/>
      <c r="E319" s="87"/>
      <c r="K319" s="82"/>
    </row>
    <row r="320" spans="1:11" ht="14.25" customHeight="1" x14ac:dyDescent="0.2">
      <c r="A320" s="82"/>
      <c r="E320" s="87"/>
      <c r="K320" s="82"/>
    </row>
    <row r="321" spans="1:11" ht="14.25" customHeight="1" x14ac:dyDescent="0.2">
      <c r="A321" s="82"/>
      <c r="E321" s="87"/>
      <c r="K321" s="82"/>
    </row>
    <row r="322" spans="1:11" ht="14.25" customHeight="1" x14ac:dyDescent="0.2">
      <c r="A322" s="82"/>
      <c r="E322" s="87"/>
      <c r="K322" s="82"/>
    </row>
    <row r="323" spans="1:11" ht="14.25" customHeight="1" x14ac:dyDescent="0.2">
      <c r="A323" s="82"/>
      <c r="E323" s="87"/>
      <c r="K323" s="82"/>
    </row>
    <row r="324" spans="1:11" ht="14.25" customHeight="1" x14ac:dyDescent="0.2">
      <c r="A324" s="82"/>
      <c r="E324" s="87"/>
      <c r="K324" s="82"/>
    </row>
    <row r="325" spans="1:11" ht="14.25" customHeight="1" x14ac:dyDescent="0.2">
      <c r="A325" s="82"/>
      <c r="E325" s="87"/>
      <c r="K325" s="82"/>
    </row>
    <row r="326" spans="1:11" ht="14.25" customHeight="1" x14ac:dyDescent="0.2">
      <c r="A326" s="82"/>
      <c r="E326" s="87"/>
      <c r="K326" s="82"/>
    </row>
    <row r="327" spans="1:11" ht="14.25" customHeight="1" x14ac:dyDescent="0.2">
      <c r="A327" s="82"/>
      <c r="E327" s="87"/>
      <c r="K327" s="82"/>
    </row>
    <row r="328" spans="1:11" ht="14.25" customHeight="1" x14ac:dyDescent="0.2">
      <c r="A328" s="82"/>
      <c r="E328" s="87"/>
      <c r="K328" s="82"/>
    </row>
    <row r="329" spans="1:11" ht="14.25" customHeight="1" x14ac:dyDescent="0.2">
      <c r="A329" s="82"/>
      <c r="E329" s="87"/>
      <c r="K329" s="82"/>
    </row>
    <row r="330" spans="1:11" ht="14.25" customHeight="1" x14ac:dyDescent="0.2">
      <c r="A330" s="82"/>
      <c r="E330" s="87"/>
      <c r="K330" s="82"/>
    </row>
    <row r="331" spans="1:11" ht="14.25" customHeight="1" x14ac:dyDescent="0.2">
      <c r="A331" s="82"/>
      <c r="E331" s="87"/>
      <c r="K331" s="82"/>
    </row>
    <row r="332" spans="1:11" ht="14.25" customHeight="1" x14ac:dyDescent="0.2">
      <c r="A332" s="82"/>
      <c r="E332" s="87"/>
      <c r="K332" s="82"/>
    </row>
    <row r="333" spans="1:11" ht="14.25" customHeight="1" x14ac:dyDescent="0.2">
      <c r="A333" s="82"/>
      <c r="E333" s="87"/>
      <c r="K333" s="82"/>
    </row>
    <row r="334" spans="1:11" ht="14.25" customHeight="1" x14ac:dyDescent="0.2">
      <c r="A334" s="82"/>
      <c r="E334" s="87"/>
      <c r="K334" s="82"/>
    </row>
    <row r="335" spans="1:11" ht="14.25" customHeight="1" x14ac:dyDescent="0.2">
      <c r="A335" s="82"/>
      <c r="E335" s="87"/>
      <c r="K335" s="82"/>
    </row>
    <row r="336" spans="1:11" ht="14.25" customHeight="1" x14ac:dyDescent="0.2">
      <c r="A336" s="82"/>
      <c r="E336" s="87"/>
      <c r="K336" s="82"/>
    </row>
    <row r="337" spans="1:11" ht="14.25" customHeight="1" x14ac:dyDescent="0.2">
      <c r="A337" s="82"/>
      <c r="E337" s="87"/>
      <c r="K337" s="82"/>
    </row>
    <row r="338" spans="1:11" ht="14.25" customHeight="1" x14ac:dyDescent="0.2">
      <c r="A338" s="82"/>
      <c r="E338" s="87"/>
      <c r="K338" s="82"/>
    </row>
    <row r="339" spans="1:11" ht="14.25" customHeight="1" x14ac:dyDescent="0.2">
      <c r="A339" s="82"/>
      <c r="E339" s="87"/>
      <c r="K339" s="82"/>
    </row>
    <row r="340" spans="1:11" ht="14.25" customHeight="1" x14ac:dyDescent="0.2">
      <c r="A340" s="82"/>
      <c r="E340" s="87"/>
      <c r="K340" s="82"/>
    </row>
    <row r="341" spans="1:11" ht="14.25" customHeight="1" x14ac:dyDescent="0.2">
      <c r="A341" s="82"/>
      <c r="E341" s="87"/>
      <c r="K341" s="82"/>
    </row>
    <row r="342" spans="1:11" ht="14.25" customHeight="1" x14ac:dyDescent="0.2">
      <c r="A342" s="82"/>
      <c r="E342" s="87"/>
      <c r="K342" s="82"/>
    </row>
    <row r="343" spans="1:11" ht="14.25" customHeight="1" x14ac:dyDescent="0.2">
      <c r="A343" s="82"/>
      <c r="E343" s="87"/>
      <c r="K343" s="82"/>
    </row>
    <row r="344" spans="1:11" ht="14.25" customHeight="1" x14ac:dyDescent="0.2">
      <c r="A344" s="82"/>
      <c r="E344" s="87"/>
      <c r="K344" s="82"/>
    </row>
    <row r="345" spans="1:11" ht="14.25" customHeight="1" x14ac:dyDescent="0.2">
      <c r="A345" s="82"/>
      <c r="E345" s="87"/>
      <c r="K345" s="82"/>
    </row>
    <row r="346" spans="1:11" ht="14.25" customHeight="1" x14ac:dyDescent="0.2">
      <c r="A346" s="82"/>
      <c r="E346" s="87"/>
      <c r="K346" s="82"/>
    </row>
    <row r="347" spans="1:11" ht="14.25" customHeight="1" x14ac:dyDescent="0.2">
      <c r="A347" s="82"/>
      <c r="E347" s="87"/>
      <c r="K347" s="82"/>
    </row>
    <row r="348" spans="1:11" ht="14.25" customHeight="1" x14ac:dyDescent="0.2">
      <c r="A348" s="82"/>
      <c r="E348" s="87"/>
      <c r="K348" s="82"/>
    </row>
    <row r="349" spans="1:11" ht="14.25" customHeight="1" x14ac:dyDescent="0.2">
      <c r="A349" s="82"/>
      <c r="E349" s="87"/>
      <c r="K349" s="82"/>
    </row>
    <row r="350" spans="1:11" ht="14.25" customHeight="1" x14ac:dyDescent="0.2">
      <c r="A350" s="82"/>
      <c r="E350" s="87"/>
      <c r="K350" s="82"/>
    </row>
    <row r="351" spans="1:11" ht="14.25" customHeight="1" x14ac:dyDescent="0.2">
      <c r="A351" s="82"/>
      <c r="E351" s="87"/>
      <c r="K351" s="82"/>
    </row>
    <row r="352" spans="1:11" ht="14.25" customHeight="1" x14ac:dyDescent="0.2">
      <c r="A352" s="82"/>
      <c r="E352" s="87"/>
      <c r="K352" s="82"/>
    </row>
    <row r="353" spans="1:11" ht="14.25" customHeight="1" x14ac:dyDescent="0.2">
      <c r="A353" s="82"/>
      <c r="E353" s="87"/>
      <c r="K353" s="82"/>
    </row>
    <row r="354" spans="1:11" ht="14.25" customHeight="1" x14ac:dyDescent="0.2">
      <c r="A354" s="82"/>
      <c r="E354" s="87"/>
      <c r="K354" s="82"/>
    </row>
    <row r="355" spans="1:11" ht="14.25" customHeight="1" x14ac:dyDescent="0.2">
      <c r="A355" s="82"/>
      <c r="E355" s="87"/>
      <c r="K355" s="82"/>
    </row>
    <row r="356" spans="1:11" ht="14.25" customHeight="1" x14ac:dyDescent="0.2">
      <c r="A356" s="82"/>
      <c r="E356" s="87"/>
      <c r="K356" s="82"/>
    </row>
    <row r="357" spans="1:11" ht="14.25" customHeight="1" x14ac:dyDescent="0.2">
      <c r="A357" s="82"/>
      <c r="E357" s="87"/>
      <c r="K357" s="82"/>
    </row>
    <row r="358" spans="1:11" ht="14.25" customHeight="1" x14ac:dyDescent="0.2">
      <c r="A358" s="82"/>
      <c r="E358" s="87"/>
      <c r="K358" s="82"/>
    </row>
    <row r="359" spans="1:11" ht="14.25" customHeight="1" x14ac:dyDescent="0.2">
      <c r="A359" s="82"/>
      <c r="E359" s="87"/>
      <c r="K359" s="82"/>
    </row>
    <row r="360" spans="1:11" ht="14.25" customHeight="1" x14ac:dyDescent="0.2">
      <c r="A360" s="82"/>
      <c r="E360" s="87"/>
      <c r="K360" s="82"/>
    </row>
    <row r="361" spans="1:11" ht="14.25" customHeight="1" x14ac:dyDescent="0.2">
      <c r="A361" s="82"/>
      <c r="E361" s="87"/>
      <c r="K361" s="82"/>
    </row>
    <row r="362" spans="1:11" ht="14.25" customHeight="1" x14ac:dyDescent="0.2">
      <c r="A362" s="82"/>
      <c r="E362" s="87"/>
      <c r="K362" s="82"/>
    </row>
    <row r="363" spans="1:11" ht="14.25" customHeight="1" x14ac:dyDescent="0.2">
      <c r="A363" s="82"/>
      <c r="E363" s="87"/>
      <c r="K363" s="82"/>
    </row>
    <row r="364" spans="1:11" ht="14.25" customHeight="1" x14ac:dyDescent="0.2">
      <c r="A364" s="82"/>
      <c r="E364" s="87"/>
      <c r="K364" s="82"/>
    </row>
    <row r="365" spans="1:11" ht="14.25" customHeight="1" x14ac:dyDescent="0.2">
      <c r="A365" s="82"/>
      <c r="E365" s="87"/>
      <c r="K365" s="82"/>
    </row>
    <row r="366" spans="1:11" ht="14.25" customHeight="1" x14ac:dyDescent="0.2">
      <c r="A366" s="82"/>
      <c r="E366" s="87"/>
      <c r="K366" s="82"/>
    </row>
    <row r="367" spans="1:11" ht="14.25" customHeight="1" x14ac:dyDescent="0.2">
      <c r="A367" s="82"/>
      <c r="E367" s="87"/>
      <c r="K367" s="82"/>
    </row>
    <row r="368" spans="1:11" ht="14.25" customHeight="1" x14ac:dyDescent="0.2">
      <c r="A368" s="82"/>
      <c r="E368" s="87"/>
      <c r="K368" s="82"/>
    </row>
    <row r="369" spans="1:11" ht="14.25" customHeight="1" x14ac:dyDescent="0.2">
      <c r="A369" s="82"/>
      <c r="E369" s="87"/>
      <c r="K369" s="82"/>
    </row>
    <row r="370" spans="1:11" ht="14.25" customHeight="1" x14ac:dyDescent="0.2">
      <c r="A370" s="82"/>
      <c r="E370" s="87"/>
      <c r="K370" s="82"/>
    </row>
    <row r="371" spans="1:11" ht="14.25" customHeight="1" x14ac:dyDescent="0.2">
      <c r="A371" s="82"/>
      <c r="E371" s="87"/>
      <c r="K371" s="82"/>
    </row>
    <row r="372" spans="1:11" ht="14.25" customHeight="1" x14ac:dyDescent="0.2">
      <c r="A372" s="82"/>
      <c r="E372" s="87"/>
      <c r="K372" s="82"/>
    </row>
    <row r="373" spans="1:11" ht="14.25" customHeight="1" x14ac:dyDescent="0.2">
      <c r="A373" s="82"/>
      <c r="E373" s="87"/>
      <c r="K373" s="82"/>
    </row>
    <row r="374" spans="1:11" ht="14.25" customHeight="1" x14ac:dyDescent="0.2">
      <c r="A374" s="82"/>
      <c r="E374" s="87"/>
      <c r="K374" s="82"/>
    </row>
    <row r="375" spans="1:11" ht="14.25" customHeight="1" x14ac:dyDescent="0.2">
      <c r="A375" s="82"/>
      <c r="E375" s="87"/>
      <c r="K375" s="82"/>
    </row>
    <row r="376" spans="1:11" ht="14.25" customHeight="1" x14ac:dyDescent="0.2">
      <c r="A376" s="82"/>
      <c r="E376" s="87"/>
      <c r="K376" s="82"/>
    </row>
    <row r="377" spans="1:11" ht="14.25" customHeight="1" x14ac:dyDescent="0.2">
      <c r="A377" s="82"/>
      <c r="E377" s="87"/>
      <c r="K377" s="82"/>
    </row>
    <row r="378" spans="1:11" ht="14.25" customHeight="1" x14ac:dyDescent="0.2">
      <c r="A378" s="82"/>
      <c r="E378" s="87"/>
      <c r="K378" s="82"/>
    </row>
    <row r="379" spans="1:11" ht="14.25" customHeight="1" x14ac:dyDescent="0.2">
      <c r="A379" s="82"/>
      <c r="E379" s="87"/>
      <c r="K379" s="82"/>
    </row>
    <row r="380" spans="1:11" ht="14.25" customHeight="1" x14ac:dyDescent="0.2">
      <c r="A380" s="82"/>
      <c r="E380" s="87"/>
      <c r="K380" s="82"/>
    </row>
    <row r="381" spans="1:11" ht="14.25" customHeight="1" x14ac:dyDescent="0.2">
      <c r="A381" s="82"/>
      <c r="E381" s="87"/>
      <c r="K381" s="82"/>
    </row>
    <row r="382" spans="1:11" ht="14.25" customHeight="1" x14ac:dyDescent="0.2">
      <c r="A382" s="82"/>
      <c r="E382" s="87"/>
      <c r="K382" s="82"/>
    </row>
    <row r="383" spans="1:11" ht="14.25" customHeight="1" x14ac:dyDescent="0.2">
      <c r="A383" s="82"/>
      <c r="E383" s="87"/>
      <c r="K383" s="82"/>
    </row>
    <row r="384" spans="1:11" ht="14.25" customHeight="1" x14ac:dyDescent="0.2">
      <c r="A384" s="82"/>
      <c r="E384" s="87"/>
      <c r="K384" s="82"/>
    </row>
    <row r="385" spans="1:11" ht="14.25" customHeight="1" x14ac:dyDescent="0.2">
      <c r="A385" s="82"/>
      <c r="E385" s="87"/>
      <c r="K385" s="82"/>
    </row>
    <row r="386" spans="1:11" ht="14.25" customHeight="1" x14ac:dyDescent="0.2">
      <c r="A386" s="82"/>
      <c r="E386" s="87"/>
      <c r="K386" s="82"/>
    </row>
    <row r="387" spans="1:11" ht="14.25" customHeight="1" x14ac:dyDescent="0.2">
      <c r="A387" s="82"/>
      <c r="E387" s="87"/>
      <c r="K387" s="82"/>
    </row>
    <row r="388" spans="1:11" ht="14.25" customHeight="1" x14ac:dyDescent="0.2">
      <c r="A388" s="82"/>
      <c r="E388" s="87"/>
      <c r="K388" s="82"/>
    </row>
    <row r="389" spans="1:11" ht="14.25" customHeight="1" x14ac:dyDescent="0.2">
      <c r="A389" s="82"/>
      <c r="E389" s="87"/>
      <c r="K389" s="82"/>
    </row>
    <row r="390" spans="1:11" ht="14.25" customHeight="1" x14ac:dyDescent="0.2">
      <c r="A390" s="82"/>
      <c r="E390" s="87"/>
      <c r="K390" s="82"/>
    </row>
    <row r="391" spans="1:11" ht="14.25" customHeight="1" x14ac:dyDescent="0.2">
      <c r="A391" s="82"/>
      <c r="E391" s="87"/>
      <c r="K391" s="82"/>
    </row>
    <row r="392" spans="1:11" ht="14.25" customHeight="1" x14ac:dyDescent="0.2">
      <c r="A392" s="82"/>
      <c r="E392" s="87"/>
      <c r="K392" s="82"/>
    </row>
    <row r="393" spans="1:11" ht="14.25" customHeight="1" x14ac:dyDescent="0.2">
      <c r="A393" s="82"/>
      <c r="E393" s="87"/>
      <c r="K393" s="82"/>
    </row>
    <row r="394" spans="1:11" ht="14.25" customHeight="1" x14ac:dyDescent="0.2">
      <c r="A394" s="82"/>
      <c r="E394" s="87"/>
      <c r="K394" s="82"/>
    </row>
    <row r="395" spans="1:11" ht="14.25" customHeight="1" x14ac:dyDescent="0.2">
      <c r="A395" s="82"/>
      <c r="E395" s="87"/>
      <c r="K395" s="82"/>
    </row>
    <row r="396" spans="1:11" ht="14.25" customHeight="1" x14ac:dyDescent="0.2">
      <c r="A396" s="82"/>
      <c r="E396" s="87"/>
      <c r="K396" s="82"/>
    </row>
    <row r="397" spans="1:11" ht="14.25" customHeight="1" x14ac:dyDescent="0.2">
      <c r="A397" s="82"/>
      <c r="E397" s="87"/>
      <c r="K397" s="82"/>
    </row>
    <row r="398" spans="1:11" ht="14.25" customHeight="1" x14ac:dyDescent="0.2">
      <c r="A398" s="82"/>
      <c r="E398" s="87"/>
      <c r="K398" s="82"/>
    </row>
    <row r="399" spans="1:11" ht="14.25" customHeight="1" x14ac:dyDescent="0.2">
      <c r="A399" s="82"/>
      <c r="E399" s="87"/>
      <c r="K399" s="82"/>
    </row>
    <row r="400" spans="1:11" ht="14.25" customHeight="1" x14ac:dyDescent="0.2">
      <c r="A400" s="82"/>
      <c r="E400" s="87"/>
      <c r="K400" s="82"/>
    </row>
    <row r="401" spans="1:11" ht="14.25" customHeight="1" x14ac:dyDescent="0.2">
      <c r="A401" s="82"/>
      <c r="E401" s="87"/>
      <c r="K401" s="82"/>
    </row>
    <row r="402" spans="1:11" ht="14.25" customHeight="1" x14ac:dyDescent="0.2">
      <c r="A402" s="82"/>
      <c r="E402" s="87"/>
      <c r="K402" s="82"/>
    </row>
    <row r="403" spans="1:11" ht="14.25" customHeight="1" x14ac:dyDescent="0.2">
      <c r="A403" s="82"/>
      <c r="E403" s="87"/>
      <c r="K403" s="82"/>
    </row>
    <row r="404" spans="1:11" ht="14.25" customHeight="1" x14ac:dyDescent="0.2">
      <c r="A404" s="82"/>
      <c r="E404" s="87"/>
      <c r="K404" s="82"/>
    </row>
    <row r="405" spans="1:11" ht="14.25" customHeight="1" x14ac:dyDescent="0.2">
      <c r="A405" s="82"/>
      <c r="E405" s="87"/>
      <c r="K405" s="82"/>
    </row>
    <row r="406" spans="1:11" ht="14.25" customHeight="1" x14ac:dyDescent="0.2">
      <c r="A406" s="82"/>
      <c r="E406" s="87"/>
      <c r="K406" s="82"/>
    </row>
    <row r="407" spans="1:11" ht="14.25" customHeight="1" x14ac:dyDescent="0.2">
      <c r="A407" s="82"/>
      <c r="E407" s="87"/>
      <c r="K407" s="82"/>
    </row>
    <row r="408" spans="1:11" ht="14.25" customHeight="1" x14ac:dyDescent="0.2">
      <c r="A408" s="82"/>
      <c r="E408" s="87"/>
      <c r="K408" s="82"/>
    </row>
    <row r="409" spans="1:11" ht="14.25" customHeight="1" x14ac:dyDescent="0.2">
      <c r="A409" s="82"/>
      <c r="E409" s="87"/>
      <c r="K409" s="82"/>
    </row>
    <row r="410" spans="1:11" ht="14.25" customHeight="1" x14ac:dyDescent="0.2">
      <c r="A410" s="82"/>
      <c r="E410" s="87"/>
      <c r="K410" s="82"/>
    </row>
    <row r="411" spans="1:11" ht="14.25" customHeight="1" x14ac:dyDescent="0.2">
      <c r="A411" s="82"/>
      <c r="E411" s="87"/>
      <c r="K411" s="82"/>
    </row>
    <row r="412" spans="1:11" ht="14.25" customHeight="1" x14ac:dyDescent="0.2">
      <c r="A412" s="82"/>
      <c r="E412" s="87"/>
      <c r="K412" s="82"/>
    </row>
    <row r="413" spans="1:11" ht="14.25" customHeight="1" x14ac:dyDescent="0.2">
      <c r="A413" s="82"/>
      <c r="E413" s="87"/>
      <c r="K413" s="82"/>
    </row>
    <row r="414" spans="1:11" ht="14.25" customHeight="1" x14ac:dyDescent="0.2">
      <c r="A414" s="82"/>
      <c r="E414" s="87"/>
      <c r="K414" s="82"/>
    </row>
    <row r="415" spans="1:11" ht="14.25" customHeight="1" x14ac:dyDescent="0.2">
      <c r="A415" s="82"/>
      <c r="E415" s="87"/>
      <c r="K415" s="82"/>
    </row>
    <row r="416" spans="1:11" ht="14.25" customHeight="1" x14ac:dyDescent="0.2">
      <c r="A416" s="82"/>
      <c r="E416" s="87"/>
      <c r="K416" s="82"/>
    </row>
    <row r="417" spans="1:11" ht="14.25" customHeight="1" x14ac:dyDescent="0.2">
      <c r="A417" s="82"/>
      <c r="E417" s="87"/>
      <c r="K417" s="82"/>
    </row>
    <row r="418" spans="1:11" ht="14.25" customHeight="1" x14ac:dyDescent="0.2">
      <c r="A418" s="82"/>
      <c r="E418" s="87"/>
      <c r="K418" s="82"/>
    </row>
    <row r="419" spans="1:11" ht="14.25" customHeight="1" x14ac:dyDescent="0.2">
      <c r="A419" s="82"/>
      <c r="E419" s="87"/>
      <c r="K419" s="82"/>
    </row>
    <row r="420" spans="1:11" ht="14.25" customHeight="1" x14ac:dyDescent="0.2">
      <c r="A420" s="82"/>
      <c r="E420" s="87"/>
      <c r="K420" s="82"/>
    </row>
    <row r="421" spans="1:11" ht="14.25" customHeight="1" x14ac:dyDescent="0.2">
      <c r="A421" s="82"/>
      <c r="E421" s="87"/>
      <c r="K421" s="82"/>
    </row>
    <row r="422" spans="1:11" ht="14.25" customHeight="1" x14ac:dyDescent="0.2">
      <c r="A422" s="82"/>
      <c r="E422" s="87"/>
      <c r="K422" s="82"/>
    </row>
    <row r="423" spans="1:11" ht="14.25" customHeight="1" x14ac:dyDescent="0.2">
      <c r="A423" s="82"/>
      <c r="E423" s="87"/>
      <c r="K423" s="82"/>
    </row>
    <row r="424" spans="1:11" ht="14.25" customHeight="1" x14ac:dyDescent="0.2">
      <c r="A424" s="82"/>
      <c r="E424" s="87"/>
      <c r="K424" s="82"/>
    </row>
    <row r="425" spans="1:11" ht="14.25" customHeight="1" x14ac:dyDescent="0.2">
      <c r="A425" s="82"/>
      <c r="E425" s="87"/>
      <c r="K425" s="82"/>
    </row>
    <row r="426" spans="1:11" ht="14.25" customHeight="1" x14ac:dyDescent="0.2">
      <c r="A426" s="82"/>
      <c r="E426" s="87"/>
      <c r="K426" s="82"/>
    </row>
    <row r="427" spans="1:11" ht="14.25" customHeight="1" x14ac:dyDescent="0.2">
      <c r="A427" s="82"/>
      <c r="E427" s="87"/>
      <c r="K427" s="82"/>
    </row>
    <row r="428" spans="1:11" ht="14.25" customHeight="1" x14ac:dyDescent="0.2">
      <c r="A428" s="82"/>
      <c r="E428" s="87"/>
      <c r="K428" s="82"/>
    </row>
    <row r="429" spans="1:11" ht="14.25" customHeight="1" x14ac:dyDescent="0.2">
      <c r="A429" s="82"/>
      <c r="E429" s="87"/>
      <c r="K429" s="82"/>
    </row>
    <row r="430" spans="1:11" ht="14.25" customHeight="1" x14ac:dyDescent="0.2">
      <c r="A430" s="82"/>
      <c r="E430" s="87"/>
      <c r="K430" s="82"/>
    </row>
    <row r="431" spans="1:11" ht="14.25" customHeight="1" x14ac:dyDescent="0.2">
      <c r="A431" s="82"/>
      <c r="E431" s="87"/>
      <c r="K431" s="82"/>
    </row>
    <row r="432" spans="1:11" ht="14.25" customHeight="1" x14ac:dyDescent="0.2">
      <c r="A432" s="82"/>
      <c r="E432" s="87"/>
      <c r="K432" s="82"/>
    </row>
    <row r="433" spans="1:11" ht="14.25" customHeight="1" x14ac:dyDescent="0.2">
      <c r="A433" s="82"/>
      <c r="E433" s="87"/>
      <c r="K433" s="82"/>
    </row>
    <row r="434" spans="1:11" ht="14.25" customHeight="1" x14ac:dyDescent="0.2">
      <c r="A434" s="82"/>
      <c r="E434" s="87"/>
      <c r="K434" s="82"/>
    </row>
    <row r="435" spans="1:11" ht="14.25" customHeight="1" x14ac:dyDescent="0.2">
      <c r="A435" s="82"/>
      <c r="E435" s="87"/>
      <c r="K435" s="82"/>
    </row>
    <row r="436" spans="1:11" ht="14.25" customHeight="1" x14ac:dyDescent="0.2">
      <c r="A436" s="82"/>
      <c r="E436" s="87"/>
      <c r="K436" s="82"/>
    </row>
    <row r="437" spans="1:11" ht="14.25" customHeight="1" x14ac:dyDescent="0.2">
      <c r="A437" s="82"/>
      <c r="E437" s="87"/>
      <c r="K437" s="82"/>
    </row>
    <row r="438" spans="1:11" ht="14.25" customHeight="1" x14ac:dyDescent="0.2">
      <c r="A438" s="82"/>
      <c r="E438" s="87"/>
      <c r="K438" s="82"/>
    </row>
    <row r="439" spans="1:11" ht="14.25" customHeight="1" x14ac:dyDescent="0.2">
      <c r="A439" s="82"/>
      <c r="E439" s="87"/>
      <c r="K439" s="82"/>
    </row>
    <row r="440" spans="1:11" ht="14.25" customHeight="1" x14ac:dyDescent="0.2">
      <c r="A440" s="82"/>
      <c r="E440" s="87"/>
      <c r="K440" s="82"/>
    </row>
    <row r="441" spans="1:11" ht="14.25" customHeight="1" x14ac:dyDescent="0.2">
      <c r="A441" s="82"/>
      <c r="E441" s="87"/>
      <c r="K441" s="82"/>
    </row>
    <row r="442" spans="1:11" ht="14.25" customHeight="1" x14ac:dyDescent="0.2">
      <c r="A442" s="82"/>
      <c r="E442" s="87"/>
      <c r="K442" s="82"/>
    </row>
    <row r="443" spans="1:11" ht="14.25" customHeight="1" x14ac:dyDescent="0.2">
      <c r="A443" s="82"/>
      <c r="E443" s="87"/>
      <c r="K443" s="82"/>
    </row>
    <row r="444" spans="1:11" ht="14.25" customHeight="1" x14ac:dyDescent="0.2">
      <c r="A444" s="82"/>
      <c r="E444" s="87"/>
      <c r="K444" s="82"/>
    </row>
    <row r="445" spans="1:11" ht="14.25" customHeight="1" x14ac:dyDescent="0.2">
      <c r="A445" s="82"/>
      <c r="E445" s="87"/>
      <c r="K445" s="82"/>
    </row>
    <row r="446" spans="1:11" ht="14.25" customHeight="1" x14ac:dyDescent="0.2">
      <c r="A446" s="82"/>
      <c r="E446" s="87"/>
      <c r="K446" s="82"/>
    </row>
    <row r="447" spans="1:11" ht="14.25" customHeight="1" x14ac:dyDescent="0.2">
      <c r="A447" s="82"/>
      <c r="E447" s="87"/>
      <c r="K447" s="82"/>
    </row>
    <row r="448" spans="1:11" ht="14.25" customHeight="1" x14ac:dyDescent="0.2">
      <c r="A448" s="82"/>
      <c r="E448" s="87"/>
      <c r="K448" s="82"/>
    </row>
    <row r="449" spans="1:11" ht="14.25" customHeight="1" x14ac:dyDescent="0.2">
      <c r="A449" s="82"/>
      <c r="E449" s="87"/>
      <c r="K449" s="82"/>
    </row>
    <row r="450" spans="1:11" ht="14.25" customHeight="1" x14ac:dyDescent="0.2">
      <c r="A450" s="82"/>
      <c r="E450" s="87"/>
      <c r="K450" s="82"/>
    </row>
    <row r="451" spans="1:11" ht="14.25" customHeight="1" x14ac:dyDescent="0.2">
      <c r="A451" s="82"/>
      <c r="E451" s="87"/>
      <c r="K451" s="82"/>
    </row>
    <row r="452" spans="1:11" ht="14.25" customHeight="1" x14ac:dyDescent="0.2">
      <c r="A452" s="82"/>
      <c r="E452" s="87"/>
      <c r="K452" s="82"/>
    </row>
    <row r="453" spans="1:11" ht="14.25" customHeight="1" x14ac:dyDescent="0.2">
      <c r="A453" s="82"/>
      <c r="E453" s="87"/>
      <c r="K453" s="82"/>
    </row>
    <row r="454" spans="1:11" ht="14.25" customHeight="1" x14ac:dyDescent="0.2">
      <c r="A454" s="82"/>
      <c r="E454" s="87"/>
      <c r="K454" s="82"/>
    </row>
    <row r="455" spans="1:11" ht="14.25" customHeight="1" x14ac:dyDescent="0.2">
      <c r="A455" s="82"/>
      <c r="E455" s="87"/>
      <c r="K455" s="82"/>
    </row>
    <row r="456" spans="1:11" ht="14.25" customHeight="1" x14ac:dyDescent="0.2">
      <c r="A456" s="82"/>
      <c r="E456" s="87"/>
      <c r="K456" s="82"/>
    </row>
    <row r="457" spans="1:11" ht="14.25" customHeight="1" x14ac:dyDescent="0.2">
      <c r="A457" s="82"/>
      <c r="E457" s="87"/>
      <c r="K457" s="82"/>
    </row>
    <row r="458" spans="1:11" ht="14.25" customHeight="1" x14ac:dyDescent="0.2">
      <c r="A458" s="82"/>
      <c r="E458" s="87"/>
      <c r="K458" s="82"/>
    </row>
    <row r="459" spans="1:11" ht="14.25" customHeight="1" x14ac:dyDescent="0.2">
      <c r="A459" s="82"/>
      <c r="E459" s="87"/>
      <c r="K459" s="82"/>
    </row>
    <row r="460" spans="1:11" ht="14.25" customHeight="1" x14ac:dyDescent="0.2">
      <c r="A460" s="82"/>
      <c r="E460" s="87"/>
      <c r="K460" s="82"/>
    </row>
    <row r="461" spans="1:11" ht="14.25" customHeight="1" x14ac:dyDescent="0.2">
      <c r="A461" s="82"/>
      <c r="E461" s="87"/>
      <c r="K461" s="82"/>
    </row>
    <row r="462" spans="1:11" ht="14.25" customHeight="1" x14ac:dyDescent="0.2">
      <c r="A462" s="82"/>
      <c r="E462" s="87"/>
      <c r="K462" s="82"/>
    </row>
    <row r="463" spans="1:11" ht="14.25" customHeight="1" x14ac:dyDescent="0.2">
      <c r="A463" s="82"/>
      <c r="E463" s="87"/>
      <c r="K463" s="82"/>
    </row>
    <row r="464" spans="1:11" ht="14.25" customHeight="1" x14ac:dyDescent="0.2">
      <c r="A464" s="82"/>
      <c r="E464" s="87"/>
      <c r="K464" s="82"/>
    </row>
    <row r="465" spans="1:11" ht="14.25" customHeight="1" x14ac:dyDescent="0.2">
      <c r="A465" s="82"/>
      <c r="E465" s="87"/>
      <c r="K465" s="82"/>
    </row>
    <row r="466" spans="1:11" ht="14.25" customHeight="1" x14ac:dyDescent="0.2">
      <c r="A466" s="82"/>
      <c r="E466" s="87"/>
      <c r="K466" s="82"/>
    </row>
    <row r="467" spans="1:11" ht="14.25" customHeight="1" x14ac:dyDescent="0.2">
      <c r="A467" s="82"/>
      <c r="E467" s="87"/>
      <c r="K467" s="82"/>
    </row>
    <row r="468" spans="1:11" ht="14.25" customHeight="1" x14ac:dyDescent="0.2">
      <c r="A468" s="82"/>
      <c r="E468" s="87"/>
      <c r="K468" s="82"/>
    </row>
    <row r="469" spans="1:11" ht="14.25" customHeight="1" x14ac:dyDescent="0.2">
      <c r="A469" s="82"/>
      <c r="E469" s="87"/>
      <c r="K469" s="82"/>
    </row>
    <row r="470" spans="1:11" ht="14.25" customHeight="1" x14ac:dyDescent="0.2">
      <c r="A470" s="82"/>
      <c r="E470" s="87"/>
      <c r="K470" s="82"/>
    </row>
    <row r="471" spans="1:11" ht="14.25" customHeight="1" x14ac:dyDescent="0.2">
      <c r="A471" s="82"/>
      <c r="E471" s="87"/>
      <c r="K471" s="82"/>
    </row>
    <row r="472" spans="1:11" ht="14.25" customHeight="1" x14ac:dyDescent="0.2">
      <c r="A472" s="82"/>
      <c r="E472" s="87"/>
      <c r="K472" s="82"/>
    </row>
    <row r="473" spans="1:11" ht="14.25" customHeight="1" x14ac:dyDescent="0.2">
      <c r="A473" s="82"/>
      <c r="E473" s="87"/>
      <c r="K473" s="82"/>
    </row>
    <row r="474" spans="1:11" ht="14.25" customHeight="1" x14ac:dyDescent="0.2">
      <c r="A474" s="82"/>
      <c r="E474" s="87"/>
      <c r="K474" s="82"/>
    </row>
    <row r="475" spans="1:11" ht="14.25" customHeight="1" x14ac:dyDescent="0.2">
      <c r="A475" s="82"/>
      <c r="E475" s="87"/>
      <c r="K475" s="82"/>
    </row>
    <row r="476" spans="1:11" ht="14.25" customHeight="1" x14ac:dyDescent="0.2">
      <c r="A476" s="82"/>
      <c r="E476" s="87"/>
      <c r="K476" s="82"/>
    </row>
    <row r="477" spans="1:11" ht="14.25" customHeight="1" x14ac:dyDescent="0.2">
      <c r="A477" s="82"/>
      <c r="E477" s="87"/>
      <c r="K477" s="82"/>
    </row>
    <row r="478" spans="1:11" ht="14.25" customHeight="1" x14ac:dyDescent="0.2">
      <c r="A478" s="82"/>
      <c r="E478" s="87"/>
      <c r="K478" s="82"/>
    </row>
    <row r="479" spans="1:11" ht="14.25" customHeight="1" x14ac:dyDescent="0.2">
      <c r="A479" s="82"/>
      <c r="E479" s="87"/>
      <c r="K479" s="82"/>
    </row>
    <row r="480" spans="1:11" ht="14.25" customHeight="1" x14ac:dyDescent="0.2">
      <c r="A480" s="82"/>
      <c r="E480" s="87"/>
      <c r="K480" s="82"/>
    </row>
    <row r="481" spans="1:11" ht="14.25" customHeight="1" x14ac:dyDescent="0.2">
      <c r="A481" s="82"/>
      <c r="E481" s="87"/>
      <c r="K481" s="82"/>
    </row>
    <row r="482" spans="1:11" ht="14.25" customHeight="1" x14ac:dyDescent="0.2">
      <c r="A482" s="82"/>
      <c r="E482" s="87"/>
      <c r="K482" s="82"/>
    </row>
    <row r="483" spans="1:11" ht="14.25" customHeight="1" x14ac:dyDescent="0.2">
      <c r="A483" s="82"/>
      <c r="E483" s="87"/>
      <c r="K483" s="82"/>
    </row>
    <row r="484" spans="1:11" ht="14.25" customHeight="1" x14ac:dyDescent="0.2">
      <c r="A484" s="82"/>
      <c r="E484" s="87"/>
      <c r="K484" s="82"/>
    </row>
    <row r="485" spans="1:11" ht="14.25" customHeight="1" x14ac:dyDescent="0.2">
      <c r="A485" s="82"/>
      <c r="E485" s="87"/>
      <c r="K485" s="82"/>
    </row>
    <row r="486" spans="1:11" ht="14.25" customHeight="1" x14ac:dyDescent="0.2">
      <c r="A486" s="82"/>
      <c r="E486" s="87"/>
      <c r="K486" s="82"/>
    </row>
    <row r="487" spans="1:11" ht="14.25" customHeight="1" x14ac:dyDescent="0.2">
      <c r="A487" s="82"/>
      <c r="E487" s="87"/>
      <c r="K487" s="82"/>
    </row>
    <row r="488" spans="1:11" ht="14.25" customHeight="1" x14ac:dyDescent="0.2">
      <c r="A488" s="82"/>
      <c r="E488" s="87"/>
      <c r="K488" s="82"/>
    </row>
    <row r="489" spans="1:11" ht="14.25" customHeight="1" x14ac:dyDescent="0.2">
      <c r="A489" s="82"/>
      <c r="E489" s="87"/>
      <c r="K489" s="82"/>
    </row>
    <row r="490" spans="1:11" ht="14.25" customHeight="1" x14ac:dyDescent="0.2">
      <c r="A490" s="82"/>
      <c r="E490" s="87"/>
      <c r="K490" s="82"/>
    </row>
    <row r="491" spans="1:11" ht="14.25" customHeight="1" x14ac:dyDescent="0.2">
      <c r="A491" s="82"/>
      <c r="E491" s="87"/>
      <c r="K491" s="82"/>
    </row>
    <row r="492" spans="1:11" ht="14.25" customHeight="1" x14ac:dyDescent="0.2">
      <c r="A492" s="82"/>
      <c r="E492" s="87"/>
      <c r="K492" s="82"/>
    </row>
    <row r="493" spans="1:11" ht="14.25" customHeight="1" x14ac:dyDescent="0.2">
      <c r="A493" s="82"/>
      <c r="E493" s="87"/>
      <c r="K493" s="82"/>
    </row>
    <row r="494" spans="1:11" ht="14.25" customHeight="1" x14ac:dyDescent="0.2">
      <c r="A494" s="82"/>
      <c r="E494" s="87"/>
      <c r="K494" s="82"/>
    </row>
    <row r="495" spans="1:11" ht="14.25" customHeight="1" x14ac:dyDescent="0.2">
      <c r="A495" s="82"/>
      <c r="E495" s="87"/>
      <c r="K495" s="82"/>
    </row>
    <row r="496" spans="1:11" ht="14.25" customHeight="1" x14ac:dyDescent="0.2">
      <c r="A496" s="82"/>
      <c r="E496" s="87"/>
      <c r="K496" s="82"/>
    </row>
    <row r="497" spans="1:11" ht="14.25" customHeight="1" x14ac:dyDescent="0.2">
      <c r="A497" s="82"/>
      <c r="E497" s="87"/>
      <c r="K497" s="82"/>
    </row>
    <row r="498" spans="1:11" ht="14.25" customHeight="1" x14ac:dyDescent="0.2">
      <c r="A498" s="82"/>
      <c r="E498" s="87"/>
      <c r="K498" s="82"/>
    </row>
    <row r="499" spans="1:11" ht="14.25" customHeight="1" x14ac:dyDescent="0.2">
      <c r="A499" s="82"/>
      <c r="E499" s="87"/>
      <c r="K499" s="82"/>
    </row>
    <row r="500" spans="1:11" ht="14.25" customHeight="1" x14ac:dyDescent="0.2">
      <c r="A500" s="82"/>
      <c r="E500" s="87"/>
      <c r="K500" s="82"/>
    </row>
    <row r="501" spans="1:11" ht="14.25" customHeight="1" x14ac:dyDescent="0.2">
      <c r="A501" s="82"/>
      <c r="E501" s="87"/>
      <c r="K501" s="82"/>
    </row>
    <row r="502" spans="1:11" ht="14.25" customHeight="1" x14ac:dyDescent="0.2">
      <c r="A502" s="82"/>
      <c r="E502" s="87"/>
      <c r="K502" s="82"/>
    </row>
    <row r="503" spans="1:11" ht="14.25" customHeight="1" x14ac:dyDescent="0.2">
      <c r="A503" s="82"/>
      <c r="E503" s="87"/>
      <c r="K503" s="82"/>
    </row>
    <row r="504" spans="1:11" ht="14.25" customHeight="1" x14ac:dyDescent="0.2">
      <c r="A504" s="82"/>
      <c r="E504" s="87"/>
      <c r="K504" s="82"/>
    </row>
    <row r="505" spans="1:11" ht="14.25" customHeight="1" x14ac:dyDescent="0.2">
      <c r="A505" s="82"/>
      <c r="E505" s="87"/>
      <c r="K505" s="82"/>
    </row>
    <row r="506" spans="1:11" ht="14.25" customHeight="1" x14ac:dyDescent="0.2">
      <c r="A506" s="82"/>
      <c r="E506" s="87"/>
      <c r="K506" s="82"/>
    </row>
    <row r="507" spans="1:11" ht="14.25" customHeight="1" x14ac:dyDescent="0.2">
      <c r="A507" s="82"/>
      <c r="E507" s="87"/>
      <c r="K507" s="82"/>
    </row>
    <row r="508" spans="1:11" ht="14.25" customHeight="1" x14ac:dyDescent="0.2">
      <c r="A508" s="82"/>
      <c r="E508" s="87"/>
      <c r="K508" s="82"/>
    </row>
    <row r="509" spans="1:11" ht="14.25" customHeight="1" x14ac:dyDescent="0.2">
      <c r="A509" s="82"/>
      <c r="E509" s="87"/>
      <c r="K509" s="82"/>
    </row>
    <row r="510" spans="1:11" ht="14.25" customHeight="1" x14ac:dyDescent="0.2">
      <c r="A510" s="82"/>
      <c r="E510" s="87"/>
      <c r="K510" s="82"/>
    </row>
    <row r="511" spans="1:11" ht="14.25" customHeight="1" x14ac:dyDescent="0.2">
      <c r="A511" s="82"/>
      <c r="E511" s="87"/>
      <c r="K511" s="82"/>
    </row>
    <row r="512" spans="1:11" ht="14.25" customHeight="1" x14ac:dyDescent="0.2">
      <c r="A512" s="82"/>
      <c r="E512" s="87"/>
      <c r="K512" s="82"/>
    </row>
    <row r="513" spans="1:11" ht="14.25" customHeight="1" x14ac:dyDescent="0.2">
      <c r="A513" s="82"/>
      <c r="E513" s="87"/>
      <c r="K513" s="82"/>
    </row>
    <row r="514" spans="1:11" ht="14.25" customHeight="1" x14ac:dyDescent="0.2">
      <c r="A514" s="82"/>
      <c r="E514" s="87"/>
      <c r="K514" s="82"/>
    </row>
    <row r="515" spans="1:11" ht="14.25" customHeight="1" x14ac:dyDescent="0.2">
      <c r="A515" s="82"/>
      <c r="E515" s="87"/>
      <c r="K515" s="82"/>
    </row>
    <row r="516" spans="1:11" ht="14.25" customHeight="1" x14ac:dyDescent="0.2">
      <c r="A516" s="82"/>
      <c r="E516" s="87"/>
      <c r="K516" s="82"/>
    </row>
    <row r="517" spans="1:11" ht="14.25" customHeight="1" x14ac:dyDescent="0.2">
      <c r="A517" s="82"/>
      <c r="E517" s="87"/>
      <c r="K517" s="82"/>
    </row>
    <row r="518" spans="1:11" ht="14.25" customHeight="1" x14ac:dyDescent="0.2">
      <c r="A518" s="82"/>
      <c r="E518" s="87"/>
      <c r="K518" s="82"/>
    </row>
    <row r="519" spans="1:11" ht="14.25" customHeight="1" x14ac:dyDescent="0.2">
      <c r="A519" s="82"/>
      <c r="E519" s="87"/>
      <c r="K519" s="82"/>
    </row>
    <row r="520" spans="1:11" ht="14.25" customHeight="1" x14ac:dyDescent="0.2">
      <c r="A520" s="82"/>
      <c r="E520" s="87"/>
      <c r="K520" s="82"/>
    </row>
    <row r="521" spans="1:11" ht="14.25" customHeight="1" x14ac:dyDescent="0.2">
      <c r="A521" s="82"/>
      <c r="E521" s="87"/>
      <c r="K521" s="82"/>
    </row>
    <row r="522" spans="1:11" ht="14.25" customHeight="1" x14ac:dyDescent="0.2">
      <c r="A522" s="82"/>
      <c r="E522" s="87"/>
      <c r="K522" s="82"/>
    </row>
    <row r="523" spans="1:11" ht="14.25" customHeight="1" x14ac:dyDescent="0.2">
      <c r="A523" s="82"/>
      <c r="E523" s="87"/>
      <c r="K523" s="82"/>
    </row>
    <row r="524" spans="1:11" ht="14.25" customHeight="1" x14ac:dyDescent="0.2">
      <c r="A524" s="82"/>
      <c r="E524" s="87"/>
      <c r="K524" s="82"/>
    </row>
    <row r="525" spans="1:11" ht="14.25" customHeight="1" x14ac:dyDescent="0.2">
      <c r="A525" s="82"/>
      <c r="E525" s="87"/>
      <c r="K525" s="82"/>
    </row>
    <row r="526" spans="1:11" ht="14.25" customHeight="1" x14ac:dyDescent="0.2">
      <c r="A526" s="82"/>
      <c r="E526" s="87"/>
      <c r="K526" s="82"/>
    </row>
    <row r="527" spans="1:11" ht="14.25" customHeight="1" x14ac:dyDescent="0.2">
      <c r="A527" s="82"/>
      <c r="E527" s="87"/>
      <c r="K527" s="82"/>
    </row>
    <row r="528" spans="1:11" ht="14.25" customHeight="1" x14ac:dyDescent="0.2">
      <c r="A528" s="82"/>
      <c r="E528" s="87"/>
      <c r="K528" s="82"/>
    </row>
    <row r="529" spans="1:11" ht="14.25" customHeight="1" x14ac:dyDescent="0.2">
      <c r="A529" s="82"/>
      <c r="E529" s="87"/>
      <c r="K529" s="82"/>
    </row>
    <row r="530" spans="1:11" ht="14.25" customHeight="1" x14ac:dyDescent="0.2">
      <c r="A530" s="82"/>
      <c r="E530" s="87"/>
      <c r="K530" s="82"/>
    </row>
    <row r="531" spans="1:11" ht="14.25" customHeight="1" x14ac:dyDescent="0.2">
      <c r="A531" s="82"/>
      <c r="E531" s="87"/>
      <c r="K531" s="82"/>
    </row>
    <row r="532" spans="1:11" ht="14.25" customHeight="1" x14ac:dyDescent="0.2">
      <c r="A532" s="82"/>
      <c r="E532" s="87"/>
      <c r="K532" s="82"/>
    </row>
    <row r="533" spans="1:11" ht="14.25" customHeight="1" x14ac:dyDescent="0.2">
      <c r="A533" s="82"/>
      <c r="E533" s="87"/>
      <c r="K533" s="82"/>
    </row>
    <row r="534" spans="1:11" ht="14.25" customHeight="1" x14ac:dyDescent="0.2">
      <c r="A534" s="82"/>
      <c r="E534" s="87"/>
      <c r="K534" s="82"/>
    </row>
    <row r="535" spans="1:11" ht="14.25" customHeight="1" x14ac:dyDescent="0.2">
      <c r="A535" s="82"/>
      <c r="E535" s="87"/>
      <c r="K535" s="82"/>
    </row>
    <row r="536" spans="1:11" ht="14.25" customHeight="1" x14ac:dyDescent="0.2">
      <c r="A536" s="82"/>
      <c r="E536" s="87"/>
      <c r="K536" s="82"/>
    </row>
    <row r="537" spans="1:11" ht="14.25" customHeight="1" x14ac:dyDescent="0.2">
      <c r="A537" s="82"/>
      <c r="E537" s="87"/>
      <c r="K537" s="82"/>
    </row>
    <row r="538" spans="1:11" ht="14.25" customHeight="1" x14ac:dyDescent="0.2">
      <c r="A538" s="82"/>
      <c r="E538" s="87"/>
      <c r="K538" s="82"/>
    </row>
    <row r="539" spans="1:11" ht="14.25" customHeight="1" x14ac:dyDescent="0.2">
      <c r="A539" s="82"/>
      <c r="E539" s="87"/>
      <c r="K539" s="82"/>
    </row>
    <row r="540" spans="1:11" ht="14.25" customHeight="1" x14ac:dyDescent="0.2">
      <c r="A540" s="82"/>
      <c r="E540" s="87"/>
      <c r="K540" s="82"/>
    </row>
    <row r="541" spans="1:11" ht="14.25" customHeight="1" x14ac:dyDescent="0.2">
      <c r="A541" s="82"/>
      <c r="E541" s="87"/>
      <c r="K541" s="82"/>
    </row>
    <row r="542" spans="1:11" ht="14.25" customHeight="1" x14ac:dyDescent="0.2">
      <c r="A542" s="82"/>
      <c r="E542" s="87"/>
      <c r="K542" s="82"/>
    </row>
    <row r="543" spans="1:11" ht="14.25" customHeight="1" x14ac:dyDescent="0.2">
      <c r="A543" s="82"/>
      <c r="E543" s="87"/>
      <c r="K543" s="82"/>
    </row>
    <row r="544" spans="1:11" ht="14.25" customHeight="1" x14ac:dyDescent="0.2">
      <c r="A544" s="82"/>
      <c r="E544" s="87"/>
      <c r="K544" s="82"/>
    </row>
    <row r="545" spans="1:11" ht="14.25" customHeight="1" x14ac:dyDescent="0.2">
      <c r="A545" s="82"/>
      <c r="E545" s="87"/>
      <c r="K545" s="82"/>
    </row>
    <row r="546" spans="1:11" ht="14.25" customHeight="1" x14ac:dyDescent="0.2">
      <c r="A546" s="82"/>
      <c r="E546" s="87"/>
      <c r="K546" s="82"/>
    </row>
    <row r="547" spans="1:11" ht="14.25" customHeight="1" x14ac:dyDescent="0.2">
      <c r="A547" s="82"/>
      <c r="E547" s="87"/>
      <c r="K547" s="82"/>
    </row>
    <row r="548" spans="1:11" ht="14.25" customHeight="1" x14ac:dyDescent="0.2">
      <c r="A548" s="82"/>
      <c r="E548" s="87"/>
      <c r="K548" s="82"/>
    </row>
    <row r="549" spans="1:11" ht="14.25" customHeight="1" x14ac:dyDescent="0.2">
      <c r="A549" s="82"/>
      <c r="E549" s="87"/>
      <c r="K549" s="82"/>
    </row>
    <row r="550" spans="1:11" ht="14.25" customHeight="1" x14ac:dyDescent="0.2">
      <c r="A550" s="82"/>
      <c r="E550" s="87"/>
      <c r="K550" s="82"/>
    </row>
    <row r="551" spans="1:11" ht="14.25" customHeight="1" x14ac:dyDescent="0.2">
      <c r="A551" s="82"/>
      <c r="E551" s="87"/>
      <c r="K551" s="82"/>
    </row>
    <row r="552" spans="1:11" ht="14.25" customHeight="1" x14ac:dyDescent="0.2">
      <c r="A552" s="82"/>
      <c r="E552" s="87"/>
      <c r="K552" s="82"/>
    </row>
    <row r="553" spans="1:11" ht="14.25" customHeight="1" x14ac:dyDescent="0.2">
      <c r="A553" s="82"/>
      <c r="E553" s="87"/>
      <c r="K553" s="82"/>
    </row>
    <row r="554" spans="1:11" ht="14.25" customHeight="1" x14ac:dyDescent="0.2">
      <c r="A554" s="82"/>
      <c r="E554" s="87"/>
      <c r="K554" s="82"/>
    </row>
    <row r="555" spans="1:11" ht="14.25" customHeight="1" x14ac:dyDescent="0.2">
      <c r="A555" s="82"/>
      <c r="E555" s="87"/>
      <c r="K555" s="82"/>
    </row>
    <row r="556" spans="1:11" ht="14.25" customHeight="1" x14ac:dyDescent="0.2">
      <c r="A556" s="82"/>
      <c r="E556" s="87"/>
      <c r="K556" s="82"/>
    </row>
    <row r="557" spans="1:11" ht="14.25" customHeight="1" x14ac:dyDescent="0.2">
      <c r="A557" s="82"/>
      <c r="E557" s="87"/>
      <c r="K557" s="82"/>
    </row>
    <row r="558" spans="1:11" ht="14.25" customHeight="1" x14ac:dyDescent="0.2">
      <c r="A558" s="82"/>
      <c r="E558" s="87"/>
      <c r="K558" s="82"/>
    </row>
    <row r="559" spans="1:11" ht="14.25" customHeight="1" x14ac:dyDescent="0.2">
      <c r="A559" s="82"/>
      <c r="E559" s="87"/>
      <c r="K559" s="82"/>
    </row>
    <row r="560" spans="1:11" ht="14.25" customHeight="1" x14ac:dyDescent="0.2">
      <c r="A560" s="82"/>
      <c r="E560" s="87"/>
      <c r="K560" s="82"/>
    </row>
    <row r="561" spans="1:11" ht="14.25" customHeight="1" x14ac:dyDescent="0.2">
      <c r="A561" s="82"/>
      <c r="E561" s="87"/>
      <c r="K561" s="82"/>
    </row>
    <row r="562" spans="1:11" ht="14.25" customHeight="1" x14ac:dyDescent="0.2">
      <c r="A562" s="82"/>
      <c r="E562" s="87"/>
      <c r="K562" s="82"/>
    </row>
    <row r="563" spans="1:11" ht="14.25" customHeight="1" x14ac:dyDescent="0.2">
      <c r="A563" s="82"/>
      <c r="E563" s="87"/>
      <c r="K563" s="82"/>
    </row>
    <row r="564" spans="1:11" ht="14.25" customHeight="1" x14ac:dyDescent="0.2">
      <c r="A564" s="82"/>
      <c r="E564" s="87"/>
      <c r="K564" s="82"/>
    </row>
    <row r="565" spans="1:11" ht="14.25" customHeight="1" x14ac:dyDescent="0.2">
      <c r="A565" s="82"/>
      <c r="E565" s="87"/>
      <c r="K565" s="82"/>
    </row>
    <row r="566" spans="1:11" ht="14.25" customHeight="1" x14ac:dyDescent="0.2">
      <c r="A566" s="82"/>
      <c r="E566" s="87"/>
      <c r="K566" s="82"/>
    </row>
    <row r="567" spans="1:11" ht="14.25" customHeight="1" x14ac:dyDescent="0.2">
      <c r="A567" s="82"/>
      <c r="E567" s="87"/>
      <c r="K567" s="82"/>
    </row>
    <row r="568" spans="1:11" ht="14.25" customHeight="1" x14ac:dyDescent="0.2">
      <c r="A568" s="82"/>
      <c r="E568" s="87"/>
      <c r="K568" s="82"/>
    </row>
    <row r="569" spans="1:11" ht="14.25" customHeight="1" x14ac:dyDescent="0.2">
      <c r="A569" s="82"/>
      <c r="E569" s="87"/>
      <c r="K569" s="82"/>
    </row>
    <row r="570" spans="1:11" ht="14.25" customHeight="1" x14ac:dyDescent="0.2">
      <c r="A570" s="82"/>
      <c r="E570" s="87"/>
      <c r="K570" s="82"/>
    </row>
    <row r="571" spans="1:11" ht="14.25" customHeight="1" x14ac:dyDescent="0.2">
      <c r="A571" s="82"/>
      <c r="E571" s="87"/>
      <c r="K571" s="82"/>
    </row>
    <row r="572" spans="1:11" ht="14.25" customHeight="1" x14ac:dyDescent="0.2">
      <c r="A572" s="82"/>
      <c r="E572" s="87"/>
      <c r="K572" s="82"/>
    </row>
    <row r="573" spans="1:11" ht="14.25" customHeight="1" x14ac:dyDescent="0.2">
      <c r="A573" s="82"/>
      <c r="E573" s="87"/>
      <c r="K573" s="82"/>
    </row>
    <row r="574" spans="1:11" ht="14.25" customHeight="1" x14ac:dyDescent="0.2">
      <c r="A574" s="82"/>
      <c r="E574" s="87"/>
      <c r="K574" s="82"/>
    </row>
    <row r="575" spans="1:11" ht="14.25" customHeight="1" x14ac:dyDescent="0.2">
      <c r="A575" s="82"/>
      <c r="E575" s="87"/>
      <c r="K575" s="82"/>
    </row>
    <row r="576" spans="1:11" ht="14.25" customHeight="1" x14ac:dyDescent="0.2">
      <c r="A576" s="82"/>
      <c r="E576" s="87"/>
      <c r="K576" s="82"/>
    </row>
    <row r="577" spans="1:11" ht="14.25" customHeight="1" x14ac:dyDescent="0.2">
      <c r="A577" s="82"/>
      <c r="E577" s="87"/>
      <c r="K577" s="82"/>
    </row>
    <row r="578" spans="1:11" ht="14.25" customHeight="1" x14ac:dyDescent="0.2">
      <c r="A578" s="82"/>
      <c r="E578" s="87"/>
      <c r="K578" s="82"/>
    </row>
    <row r="579" spans="1:11" ht="14.25" customHeight="1" x14ac:dyDescent="0.2">
      <c r="A579" s="82"/>
      <c r="E579" s="87"/>
      <c r="K579" s="82"/>
    </row>
    <row r="580" spans="1:11" ht="14.25" customHeight="1" x14ac:dyDescent="0.2">
      <c r="A580" s="82"/>
      <c r="E580" s="87"/>
      <c r="K580" s="82"/>
    </row>
    <row r="581" spans="1:11" ht="14.25" customHeight="1" x14ac:dyDescent="0.2">
      <c r="A581" s="82"/>
      <c r="E581" s="87"/>
      <c r="K581" s="82"/>
    </row>
    <row r="582" spans="1:11" ht="14.25" customHeight="1" x14ac:dyDescent="0.2">
      <c r="A582" s="82"/>
      <c r="E582" s="87"/>
      <c r="K582" s="82"/>
    </row>
    <row r="583" spans="1:11" ht="14.25" customHeight="1" x14ac:dyDescent="0.2">
      <c r="A583" s="82"/>
      <c r="E583" s="87"/>
      <c r="K583" s="82"/>
    </row>
    <row r="584" spans="1:11" ht="14.25" customHeight="1" x14ac:dyDescent="0.2">
      <c r="A584" s="82"/>
      <c r="E584" s="87"/>
      <c r="K584" s="82"/>
    </row>
    <row r="585" spans="1:11" ht="14.25" customHeight="1" x14ac:dyDescent="0.2">
      <c r="A585" s="82"/>
      <c r="E585" s="87"/>
      <c r="K585" s="82"/>
    </row>
    <row r="586" spans="1:11" ht="14.25" customHeight="1" x14ac:dyDescent="0.2">
      <c r="A586" s="82"/>
      <c r="E586" s="87"/>
      <c r="K586" s="82"/>
    </row>
    <row r="587" spans="1:11" ht="14.25" customHeight="1" x14ac:dyDescent="0.2">
      <c r="A587" s="82"/>
      <c r="E587" s="87"/>
      <c r="K587" s="82"/>
    </row>
    <row r="588" spans="1:11" ht="14.25" customHeight="1" x14ac:dyDescent="0.2">
      <c r="A588" s="82"/>
      <c r="E588" s="87"/>
      <c r="K588" s="82"/>
    </row>
    <row r="589" spans="1:11" ht="14.25" customHeight="1" x14ac:dyDescent="0.2">
      <c r="A589" s="82"/>
      <c r="E589" s="87"/>
      <c r="K589" s="82"/>
    </row>
    <row r="590" spans="1:11" ht="14.25" customHeight="1" x14ac:dyDescent="0.2">
      <c r="A590" s="82"/>
      <c r="E590" s="87"/>
      <c r="K590" s="82"/>
    </row>
    <row r="591" spans="1:11" ht="14.25" customHeight="1" x14ac:dyDescent="0.2">
      <c r="A591" s="82"/>
      <c r="E591" s="87"/>
      <c r="K591" s="82"/>
    </row>
    <row r="592" spans="1:11" ht="14.25" customHeight="1" x14ac:dyDescent="0.2">
      <c r="A592" s="82"/>
      <c r="E592" s="87"/>
      <c r="K592" s="82"/>
    </row>
    <row r="593" spans="1:11" ht="14.25" customHeight="1" x14ac:dyDescent="0.2">
      <c r="A593" s="82"/>
      <c r="E593" s="87"/>
      <c r="K593" s="82"/>
    </row>
    <row r="594" spans="1:11" ht="14.25" customHeight="1" x14ac:dyDescent="0.2">
      <c r="A594" s="82"/>
      <c r="E594" s="87"/>
      <c r="K594" s="82"/>
    </row>
    <row r="595" spans="1:11" ht="14.25" customHeight="1" x14ac:dyDescent="0.2">
      <c r="A595" s="82"/>
      <c r="E595" s="87"/>
      <c r="K595" s="82"/>
    </row>
    <row r="596" spans="1:11" ht="14.25" customHeight="1" x14ac:dyDescent="0.2">
      <c r="A596" s="82"/>
      <c r="E596" s="87"/>
      <c r="K596" s="82"/>
    </row>
    <row r="597" spans="1:11" ht="14.25" customHeight="1" x14ac:dyDescent="0.2">
      <c r="A597" s="82"/>
      <c r="E597" s="87"/>
      <c r="K597" s="82"/>
    </row>
    <row r="598" spans="1:11" ht="14.25" customHeight="1" x14ac:dyDescent="0.2">
      <c r="A598" s="82"/>
      <c r="E598" s="87"/>
      <c r="K598" s="82"/>
    </row>
    <row r="599" spans="1:11" ht="14.25" customHeight="1" x14ac:dyDescent="0.2">
      <c r="A599" s="82"/>
      <c r="E599" s="87"/>
      <c r="K599" s="82"/>
    </row>
    <row r="600" spans="1:11" ht="14.25" customHeight="1" x14ac:dyDescent="0.2">
      <c r="A600" s="82"/>
      <c r="E600" s="87"/>
      <c r="K600" s="82"/>
    </row>
    <row r="601" spans="1:11" ht="14.25" customHeight="1" x14ac:dyDescent="0.2">
      <c r="A601" s="82"/>
      <c r="E601" s="87"/>
      <c r="K601" s="82"/>
    </row>
    <row r="602" spans="1:11" ht="14.25" customHeight="1" x14ac:dyDescent="0.2">
      <c r="A602" s="82"/>
      <c r="E602" s="87"/>
      <c r="K602" s="82"/>
    </row>
    <row r="603" spans="1:11" ht="14.25" customHeight="1" x14ac:dyDescent="0.2">
      <c r="A603" s="82"/>
      <c r="E603" s="87"/>
      <c r="K603" s="82"/>
    </row>
    <row r="604" spans="1:11" ht="14.25" customHeight="1" x14ac:dyDescent="0.2">
      <c r="A604" s="82"/>
      <c r="E604" s="87"/>
      <c r="K604" s="82"/>
    </row>
    <row r="605" spans="1:11" ht="14.25" customHeight="1" x14ac:dyDescent="0.2">
      <c r="A605" s="82"/>
      <c r="E605" s="87"/>
      <c r="K605" s="82"/>
    </row>
    <row r="606" spans="1:11" ht="14.25" customHeight="1" x14ac:dyDescent="0.2">
      <c r="A606" s="82"/>
      <c r="E606" s="87"/>
      <c r="K606" s="82"/>
    </row>
    <row r="607" spans="1:11" ht="14.25" customHeight="1" x14ac:dyDescent="0.2">
      <c r="A607" s="82"/>
      <c r="E607" s="87"/>
      <c r="K607" s="82"/>
    </row>
    <row r="608" spans="1:11" ht="14.25" customHeight="1" x14ac:dyDescent="0.2">
      <c r="A608" s="82"/>
      <c r="E608" s="87"/>
      <c r="K608" s="82"/>
    </row>
    <row r="609" spans="1:11" ht="14.25" customHeight="1" x14ac:dyDescent="0.2">
      <c r="A609" s="82"/>
      <c r="E609" s="87"/>
      <c r="K609" s="82"/>
    </row>
    <row r="610" spans="1:11" ht="14.25" customHeight="1" x14ac:dyDescent="0.2">
      <c r="A610" s="82"/>
      <c r="E610" s="87"/>
      <c r="K610" s="82"/>
    </row>
    <row r="611" spans="1:11" ht="14.25" customHeight="1" x14ac:dyDescent="0.2">
      <c r="A611" s="82"/>
      <c r="E611" s="87"/>
      <c r="K611" s="82"/>
    </row>
    <row r="612" spans="1:11" ht="14.25" customHeight="1" x14ac:dyDescent="0.2">
      <c r="A612" s="82"/>
      <c r="E612" s="87"/>
      <c r="K612" s="82"/>
    </row>
    <row r="613" spans="1:11" ht="14.25" customHeight="1" x14ac:dyDescent="0.2">
      <c r="A613" s="82"/>
      <c r="E613" s="87"/>
      <c r="K613" s="82"/>
    </row>
    <row r="614" spans="1:11" ht="14.25" customHeight="1" x14ac:dyDescent="0.2">
      <c r="A614" s="82"/>
      <c r="E614" s="87"/>
      <c r="K614" s="82"/>
    </row>
    <row r="615" spans="1:11" ht="14.25" customHeight="1" x14ac:dyDescent="0.2">
      <c r="A615" s="82"/>
      <c r="E615" s="87"/>
      <c r="K615" s="82"/>
    </row>
    <row r="616" spans="1:11" ht="14.25" customHeight="1" x14ac:dyDescent="0.2">
      <c r="A616" s="82"/>
      <c r="E616" s="87"/>
      <c r="K616" s="82"/>
    </row>
    <row r="617" spans="1:11" ht="14.25" customHeight="1" x14ac:dyDescent="0.2">
      <c r="A617" s="82"/>
      <c r="E617" s="87"/>
      <c r="K617" s="82"/>
    </row>
    <row r="618" spans="1:11" ht="14.25" customHeight="1" x14ac:dyDescent="0.2">
      <c r="A618" s="82"/>
      <c r="E618" s="87"/>
      <c r="K618" s="82"/>
    </row>
    <row r="619" spans="1:11" ht="14.25" customHeight="1" x14ac:dyDescent="0.2">
      <c r="A619" s="82"/>
      <c r="E619" s="87"/>
      <c r="K619" s="82"/>
    </row>
    <row r="620" spans="1:11" ht="14.25" customHeight="1" x14ac:dyDescent="0.2">
      <c r="A620" s="82"/>
      <c r="E620" s="87"/>
      <c r="K620" s="82"/>
    </row>
    <row r="621" spans="1:11" ht="14.25" customHeight="1" x14ac:dyDescent="0.2">
      <c r="A621" s="82"/>
      <c r="E621" s="87"/>
      <c r="K621" s="82"/>
    </row>
    <row r="622" spans="1:11" ht="14.25" customHeight="1" x14ac:dyDescent="0.2">
      <c r="A622" s="82"/>
      <c r="E622" s="87"/>
      <c r="K622" s="82"/>
    </row>
    <row r="623" spans="1:11" ht="14.25" customHeight="1" x14ac:dyDescent="0.2">
      <c r="A623" s="82"/>
      <c r="E623" s="87"/>
      <c r="K623" s="82"/>
    </row>
    <row r="624" spans="1:11" ht="14.25" customHeight="1" x14ac:dyDescent="0.2">
      <c r="A624" s="82"/>
      <c r="E624" s="87"/>
      <c r="K624" s="82"/>
    </row>
    <row r="625" spans="1:11" ht="14.25" customHeight="1" x14ac:dyDescent="0.2">
      <c r="A625" s="82"/>
      <c r="E625" s="87"/>
      <c r="K625" s="82"/>
    </row>
    <row r="626" spans="1:11" ht="14.25" customHeight="1" x14ac:dyDescent="0.2">
      <c r="A626" s="82"/>
      <c r="E626" s="87"/>
      <c r="K626" s="82"/>
    </row>
    <row r="627" spans="1:11" ht="14.25" customHeight="1" x14ac:dyDescent="0.2">
      <c r="A627" s="82"/>
      <c r="E627" s="87"/>
      <c r="K627" s="82"/>
    </row>
    <row r="628" spans="1:11" ht="14.25" customHeight="1" x14ac:dyDescent="0.2">
      <c r="A628" s="82"/>
      <c r="E628" s="87"/>
      <c r="K628" s="82"/>
    </row>
    <row r="629" spans="1:11" ht="14.25" customHeight="1" x14ac:dyDescent="0.2">
      <c r="A629" s="82"/>
      <c r="E629" s="87"/>
      <c r="K629" s="82"/>
    </row>
    <row r="630" spans="1:11" ht="14.25" customHeight="1" x14ac:dyDescent="0.2">
      <c r="A630" s="82"/>
      <c r="E630" s="87"/>
      <c r="K630" s="82"/>
    </row>
    <row r="631" spans="1:11" ht="14.25" customHeight="1" x14ac:dyDescent="0.2">
      <c r="A631" s="82"/>
      <c r="E631" s="87"/>
      <c r="K631" s="82"/>
    </row>
    <row r="632" spans="1:11" ht="14.25" customHeight="1" x14ac:dyDescent="0.2">
      <c r="A632" s="82"/>
      <c r="E632" s="87"/>
      <c r="K632" s="82"/>
    </row>
    <row r="633" spans="1:11" ht="14.25" customHeight="1" x14ac:dyDescent="0.2">
      <c r="A633" s="82"/>
      <c r="E633" s="87"/>
      <c r="K633" s="82"/>
    </row>
    <row r="634" spans="1:11" ht="14.25" customHeight="1" x14ac:dyDescent="0.2">
      <c r="A634" s="82"/>
      <c r="E634" s="87"/>
      <c r="K634" s="82"/>
    </row>
    <row r="635" spans="1:11" ht="14.25" customHeight="1" x14ac:dyDescent="0.2">
      <c r="A635" s="82"/>
      <c r="E635" s="87"/>
      <c r="K635" s="82"/>
    </row>
    <row r="636" spans="1:11" ht="14.25" customHeight="1" x14ac:dyDescent="0.2">
      <c r="A636" s="82"/>
      <c r="E636" s="87"/>
      <c r="K636" s="82"/>
    </row>
    <row r="637" spans="1:11" ht="14.25" customHeight="1" x14ac:dyDescent="0.2">
      <c r="A637" s="82"/>
      <c r="E637" s="87"/>
      <c r="K637" s="82"/>
    </row>
    <row r="638" spans="1:11" ht="14.25" customHeight="1" x14ac:dyDescent="0.2">
      <c r="A638" s="82"/>
      <c r="E638" s="87"/>
      <c r="K638" s="82"/>
    </row>
    <row r="639" spans="1:11" ht="14.25" customHeight="1" x14ac:dyDescent="0.2">
      <c r="A639" s="82"/>
      <c r="E639" s="87"/>
      <c r="K639" s="82"/>
    </row>
    <row r="640" spans="1:11" ht="14.25" customHeight="1" x14ac:dyDescent="0.2">
      <c r="A640" s="82"/>
      <c r="E640" s="87"/>
      <c r="K640" s="82"/>
    </row>
    <row r="641" spans="1:11" ht="14.25" customHeight="1" x14ac:dyDescent="0.2">
      <c r="A641" s="82"/>
      <c r="E641" s="87"/>
      <c r="K641" s="82"/>
    </row>
    <row r="642" spans="1:11" ht="14.25" customHeight="1" x14ac:dyDescent="0.2">
      <c r="A642" s="82"/>
      <c r="E642" s="87"/>
      <c r="K642" s="82"/>
    </row>
    <row r="643" spans="1:11" ht="14.25" customHeight="1" x14ac:dyDescent="0.2">
      <c r="A643" s="82"/>
      <c r="E643" s="87"/>
      <c r="K643" s="82"/>
    </row>
    <row r="644" spans="1:11" ht="14.25" customHeight="1" x14ac:dyDescent="0.2">
      <c r="A644" s="82"/>
      <c r="E644" s="87"/>
      <c r="K644" s="82"/>
    </row>
    <row r="645" spans="1:11" ht="14.25" customHeight="1" x14ac:dyDescent="0.2">
      <c r="A645" s="82"/>
      <c r="E645" s="87"/>
      <c r="K645" s="82"/>
    </row>
    <row r="646" spans="1:11" ht="14.25" customHeight="1" x14ac:dyDescent="0.2">
      <c r="A646" s="82"/>
      <c r="E646" s="87"/>
      <c r="K646" s="82"/>
    </row>
    <row r="647" spans="1:11" ht="14.25" customHeight="1" x14ac:dyDescent="0.2">
      <c r="A647" s="82"/>
      <c r="E647" s="87"/>
      <c r="K647" s="82"/>
    </row>
    <row r="648" spans="1:11" ht="14.25" customHeight="1" x14ac:dyDescent="0.2">
      <c r="A648" s="82"/>
      <c r="E648" s="87"/>
      <c r="K648" s="82"/>
    </row>
    <row r="649" spans="1:11" ht="14.25" customHeight="1" x14ac:dyDescent="0.2">
      <c r="A649" s="82"/>
      <c r="E649" s="87"/>
      <c r="K649" s="82"/>
    </row>
    <row r="650" spans="1:11" ht="14.25" customHeight="1" x14ac:dyDescent="0.2">
      <c r="A650" s="82"/>
      <c r="E650" s="87"/>
      <c r="K650" s="82"/>
    </row>
    <row r="651" spans="1:11" ht="14.25" customHeight="1" x14ac:dyDescent="0.2">
      <c r="A651" s="82"/>
      <c r="E651" s="87"/>
      <c r="K651" s="82"/>
    </row>
    <row r="652" spans="1:11" ht="14.25" customHeight="1" x14ac:dyDescent="0.2">
      <c r="A652" s="82"/>
      <c r="E652" s="87"/>
      <c r="K652" s="82"/>
    </row>
    <row r="653" spans="1:11" ht="14.25" customHeight="1" x14ac:dyDescent="0.2">
      <c r="A653" s="82"/>
      <c r="E653" s="87"/>
      <c r="K653" s="82"/>
    </row>
    <row r="654" spans="1:11" ht="14.25" customHeight="1" x14ac:dyDescent="0.2">
      <c r="A654" s="82"/>
      <c r="E654" s="87"/>
      <c r="K654" s="82"/>
    </row>
    <row r="655" spans="1:11" ht="14.25" customHeight="1" x14ac:dyDescent="0.2">
      <c r="A655" s="82"/>
      <c r="E655" s="87"/>
      <c r="K655" s="82"/>
    </row>
    <row r="656" spans="1:11" ht="14.25" customHeight="1" x14ac:dyDescent="0.2">
      <c r="A656" s="82"/>
      <c r="E656" s="87"/>
      <c r="K656" s="82"/>
    </row>
    <row r="657" spans="1:11" ht="14.25" customHeight="1" x14ac:dyDescent="0.2">
      <c r="A657" s="82"/>
      <c r="E657" s="87"/>
      <c r="K657" s="82"/>
    </row>
    <row r="658" spans="1:11" ht="14.25" customHeight="1" x14ac:dyDescent="0.2">
      <c r="A658" s="82"/>
      <c r="E658" s="87"/>
      <c r="K658" s="82"/>
    </row>
    <row r="659" spans="1:11" ht="14.25" customHeight="1" x14ac:dyDescent="0.2">
      <c r="A659" s="82"/>
      <c r="E659" s="87"/>
      <c r="K659" s="82"/>
    </row>
    <row r="660" spans="1:11" ht="14.25" customHeight="1" x14ac:dyDescent="0.2">
      <c r="A660" s="82"/>
      <c r="E660" s="87"/>
      <c r="K660" s="82"/>
    </row>
    <row r="661" spans="1:11" ht="14.25" customHeight="1" x14ac:dyDescent="0.2">
      <c r="A661" s="82"/>
      <c r="E661" s="87"/>
      <c r="K661" s="82"/>
    </row>
    <row r="662" spans="1:11" ht="14.25" customHeight="1" x14ac:dyDescent="0.2">
      <c r="A662" s="82"/>
      <c r="E662" s="87"/>
      <c r="K662" s="82"/>
    </row>
    <row r="663" spans="1:11" ht="14.25" customHeight="1" x14ac:dyDescent="0.2">
      <c r="A663" s="82"/>
      <c r="E663" s="87"/>
      <c r="K663" s="82"/>
    </row>
    <row r="664" spans="1:11" ht="14.25" customHeight="1" x14ac:dyDescent="0.2">
      <c r="A664" s="82"/>
      <c r="E664" s="87"/>
      <c r="K664" s="82"/>
    </row>
    <row r="665" spans="1:11" ht="14.25" customHeight="1" x14ac:dyDescent="0.2">
      <c r="A665" s="82"/>
      <c r="E665" s="87"/>
      <c r="K665" s="82"/>
    </row>
    <row r="666" spans="1:11" ht="14.25" customHeight="1" x14ac:dyDescent="0.2">
      <c r="A666" s="82"/>
      <c r="E666" s="87"/>
      <c r="K666" s="82"/>
    </row>
    <row r="667" spans="1:11" ht="14.25" customHeight="1" x14ac:dyDescent="0.2">
      <c r="A667" s="82"/>
      <c r="E667" s="87"/>
      <c r="K667" s="82"/>
    </row>
    <row r="668" spans="1:11" ht="14.25" customHeight="1" x14ac:dyDescent="0.2">
      <c r="A668" s="82"/>
      <c r="E668" s="87"/>
      <c r="K668" s="82"/>
    </row>
    <row r="669" spans="1:11" ht="14.25" customHeight="1" x14ac:dyDescent="0.2">
      <c r="A669" s="82"/>
      <c r="E669" s="87"/>
      <c r="K669" s="82"/>
    </row>
    <row r="670" spans="1:11" ht="14.25" customHeight="1" x14ac:dyDescent="0.2">
      <c r="A670" s="82"/>
      <c r="E670" s="87"/>
      <c r="K670" s="82"/>
    </row>
    <row r="671" spans="1:11" ht="14.25" customHeight="1" x14ac:dyDescent="0.2">
      <c r="A671" s="82"/>
      <c r="E671" s="87"/>
      <c r="K671" s="82"/>
    </row>
    <row r="672" spans="1:11" ht="14.25" customHeight="1" x14ac:dyDescent="0.2">
      <c r="A672" s="82"/>
      <c r="E672" s="87"/>
      <c r="K672" s="82"/>
    </row>
    <row r="673" spans="1:11" ht="14.25" customHeight="1" x14ac:dyDescent="0.2">
      <c r="A673" s="82"/>
      <c r="E673" s="87"/>
      <c r="K673" s="82"/>
    </row>
    <row r="674" spans="1:11" ht="14.25" customHeight="1" x14ac:dyDescent="0.2">
      <c r="A674" s="82"/>
      <c r="E674" s="87"/>
      <c r="K674" s="82"/>
    </row>
    <row r="675" spans="1:11" ht="14.25" customHeight="1" x14ac:dyDescent="0.2">
      <c r="A675" s="82"/>
      <c r="E675" s="87"/>
      <c r="K675" s="82"/>
    </row>
    <row r="676" spans="1:11" ht="14.25" customHeight="1" x14ac:dyDescent="0.2">
      <c r="A676" s="82"/>
      <c r="E676" s="87"/>
      <c r="K676" s="82"/>
    </row>
    <row r="677" spans="1:11" ht="14.25" customHeight="1" x14ac:dyDescent="0.2">
      <c r="A677" s="82"/>
      <c r="E677" s="87"/>
      <c r="K677" s="82"/>
    </row>
    <row r="678" spans="1:11" ht="14.25" customHeight="1" x14ac:dyDescent="0.2">
      <c r="A678" s="82"/>
      <c r="E678" s="87"/>
      <c r="K678" s="82"/>
    </row>
    <row r="679" spans="1:11" ht="14.25" customHeight="1" x14ac:dyDescent="0.2">
      <c r="A679" s="82"/>
      <c r="E679" s="87"/>
      <c r="K679" s="82"/>
    </row>
    <row r="680" spans="1:11" ht="14.25" customHeight="1" x14ac:dyDescent="0.2">
      <c r="A680" s="82"/>
      <c r="E680" s="87"/>
      <c r="K680" s="82"/>
    </row>
    <row r="681" spans="1:11" ht="14.25" customHeight="1" x14ac:dyDescent="0.2">
      <c r="A681" s="82"/>
      <c r="E681" s="87"/>
      <c r="K681" s="82"/>
    </row>
    <row r="682" spans="1:11" ht="14.25" customHeight="1" x14ac:dyDescent="0.2">
      <c r="A682" s="82"/>
      <c r="E682" s="87"/>
      <c r="K682" s="82"/>
    </row>
    <row r="683" spans="1:11" ht="14.25" customHeight="1" x14ac:dyDescent="0.2">
      <c r="A683" s="82"/>
      <c r="E683" s="87"/>
      <c r="K683" s="82"/>
    </row>
    <row r="684" spans="1:11" ht="14.25" customHeight="1" x14ac:dyDescent="0.2">
      <c r="A684" s="82"/>
      <c r="E684" s="87"/>
      <c r="K684" s="82"/>
    </row>
    <row r="685" spans="1:11" ht="14.25" customHeight="1" x14ac:dyDescent="0.2">
      <c r="A685" s="82"/>
      <c r="E685" s="87"/>
      <c r="K685" s="82"/>
    </row>
    <row r="686" spans="1:11" ht="14.25" customHeight="1" x14ac:dyDescent="0.2">
      <c r="A686" s="82"/>
      <c r="E686" s="87"/>
      <c r="K686" s="82"/>
    </row>
    <row r="687" spans="1:11" ht="14.25" customHeight="1" x14ac:dyDescent="0.2">
      <c r="A687" s="82"/>
      <c r="E687" s="87"/>
      <c r="K687" s="82"/>
    </row>
    <row r="688" spans="1:11" ht="14.25" customHeight="1" x14ac:dyDescent="0.2">
      <c r="A688" s="82"/>
      <c r="E688" s="87"/>
      <c r="K688" s="82"/>
    </row>
    <row r="689" spans="1:11" ht="14.25" customHeight="1" x14ac:dyDescent="0.2">
      <c r="A689" s="82"/>
      <c r="E689" s="87"/>
      <c r="K689" s="82"/>
    </row>
    <row r="690" spans="1:11" ht="14.25" customHeight="1" x14ac:dyDescent="0.2">
      <c r="A690" s="82"/>
      <c r="E690" s="87"/>
      <c r="K690" s="82"/>
    </row>
    <row r="691" spans="1:11" ht="14.25" customHeight="1" x14ac:dyDescent="0.2">
      <c r="A691" s="82"/>
      <c r="E691" s="87"/>
      <c r="K691" s="82"/>
    </row>
    <row r="692" spans="1:11" ht="14.25" customHeight="1" x14ac:dyDescent="0.2">
      <c r="A692" s="82"/>
      <c r="E692" s="87"/>
      <c r="K692" s="82"/>
    </row>
    <row r="693" spans="1:11" ht="14.25" customHeight="1" x14ac:dyDescent="0.2">
      <c r="A693" s="82"/>
      <c r="E693" s="87"/>
      <c r="K693" s="82"/>
    </row>
    <row r="694" spans="1:11" ht="14.25" customHeight="1" x14ac:dyDescent="0.2">
      <c r="A694" s="82"/>
      <c r="E694" s="87"/>
      <c r="K694" s="82"/>
    </row>
    <row r="695" spans="1:11" ht="14.25" customHeight="1" x14ac:dyDescent="0.2">
      <c r="A695" s="82"/>
      <c r="E695" s="87"/>
      <c r="K695" s="82"/>
    </row>
    <row r="696" spans="1:11" ht="14.25" customHeight="1" x14ac:dyDescent="0.2">
      <c r="A696" s="82"/>
      <c r="E696" s="87"/>
      <c r="K696" s="82"/>
    </row>
    <row r="697" spans="1:11" ht="14.25" customHeight="1" x14ac:dyDescent="0.2">
      <c r="A697" s="82"/>
      <c r="E697" s="87"/>
      <c r="K697" s="82"/>
    </row>
    <row r="698" spans="1:11" ht="14.25" customHeight="1" x14ac:dyDescent="0.2">
      <c r="A698" s="82"/>
      <c r="E698" s="87"/>
      <c r="K698" s="82"/>
    </row>
    <row r="699" spans="1:11" ht="14.25" customHeight="1" x14ac:dyDescent="0.2">
      <c r="A699" s="82"/>
      <c r="E699" s="87"/>
      <c r="K699" s="82"/>
    </row>
    <row r="700" spans="1:11" ht="14.25" customHeight="1" x14ac:dyDescent="0.2">
      <c r="A700" s="82"/>
      <c r="E700" s="87"/>
      <c r="K700" s="82"/>
    </row>
    <row r="701" spans="1:11" ht="14.25" customHeight="1" x14ac:dyDescent="0.2">
      <c r="A701" s="82"/>
      <c r="E701" s="87"/>
      <c r="K701" s="82"/>
    </row>
    <row r="702" spans="1:11" ht="14.25" customHeight="1" x14ac:dyDescent="0.2">
      <c r="A702" s="82"/>
      <c r="E702" s="87"/>
      <c r="K702" s="82"/>
    </row>
    <row r="703" spans="1:11" ht="14.25" customHeight="1" x14ac:dyDescent="0.2">
      <c r="A703" s="82"/>
      <c r="E703" s="87"/>
      <c r="K703" s="82"/>
    </row>
    <row r="704" spans="1:11" ht="14.25" customHeight="1" x14ac:dyDescent="0.2">
      <c r="A704" s="82"/>
      <c r="E704" s="87"/>
      <c r="K704" s="82"/>
    </row>
    <row r="705" spans="1:11" ht="14.25" customHeight="1" x14ac:dyDescent="0.2">
      <c r="A705" s="82"/>
      <c r="E705" s="87"/>
      <c r="K705" s="82"/>
    </row>
    <row r="706" spans="1:11" ht="14.25" customHeight="1" x14ac:dyDescent="0.2">
      <c r="A706" s="82"/>
      <c r="E706" s="87"/>
      <c r="K706" s="82"/>
    </row>
    <row r="707" spans="1:11" ht="14.25" customHeight="1" x14ac:dyDescent="0.2">
      <c r="A707" s="82"/>
      <c r="E707" s="87"/>
      <c r="K707" s="82"/>
    </row>
    <row r="708" spans="1:11" ht="14.25" customHeight="1" x14ac:dyDescent="0.2">
      <c r="A708" s="82"/>
      <c r="E708" s="87"/>
      <c r="K708" s="82"/>
    </row>
    <row r="709" spans="1:11" ht="14.25" customHeight="1" x14ac:dyDescent="0.2">
      <c r="A709" s="82"/>
      <c r="E709" s="87"/>
      <c r="K709" s="82"/>
    </row>
    <row r="710" spans="1:11" ht="14.25" customHeight="1" x14ac:dyDescent="0.2">
      <c r="A710" s="82"/>
      <c r="E710" s="87"/>
      <c r="K710" s="82"/>
    </row>
    <row r="711" spans="1:11" ht="14.25" customHeight="1" x14ac:dyDescent="0.2">
      <c r="A711" s="82"/>
      <c r="E711" s="87"/>
      <c r="K711" s="82"/>
    </row>
    <row r="712" spans="1:11" ht="14.25" customHeight="1" x14ac:dyDescent="0.2">
      <c r="A712" s="82"/>
      <c r="E712" s="87"/>
      <c r="K712" s="82"/>
    </row>
    <row r="713" spans="1:11" ht="14.25" customHeight="1" x14ac:dyDescent="0.2">
      <c r="A713" s="82"/>
      <c r="E713" s="87"/>
      <c r="K713" s="82"/>
    </row>
    <row r="714" spans="1:11" ht="14.25" customHeight="1" x14ac:dyDescent="0.2">
      <c r="A714" s="82"/>
      <c r="E714" s="87"/>
      <c r="K714" s="82"/>
    </row>
    <row r="715" spans="1:11" ht="14.25" customHeight="1" x14ac:dyDescent="0.2">
      <c r="A715" s="82"/>
      <c r="E715" s="87"/>
      <c r="K715" s="82"/>
    </row>
    <row r="716" spans="1:11" ht="14.25" customHeight="1" x14ac:dyDescent="0.2">
      <c r="A716" s="82"/>
      <c r="E716" s="87"/>
      <c r="K716" s="82"/>
    </row>
    <row r="717" spans="1:11" ht="14.25" customHeight="1" x14ac:dyDescent="0.2">
      <c r="A717" s="82"/>
      <c r="E717" s="87"/>
      <c r="K717" s="82"/>
    </row>
    <row r="718" spans="1:11" ht="14.25" customHeight="1" x14ac:dyDescent="0.2">
      <c r="A718" s="82"/>
      <c r="E718" s="87"/>
      <c r="K718" s="82"/>
    </row>
    <row r="719" spans="1:11" ht="14.25" customHeight="1" x14ac:dyDescent="0.2">
      <c r="A719" s="82"/>
      <c r="E719" s="87"/>
      <c r="K719" s="82"/>
    </row>
    <row r="720" spans="1:11" ht="14.25" customHeight="1" x14ac:dyDescent="0.2">
      <c r="A720" s="82"/>
      <c r="E720" s="87"/>
      <c r="K720" s="82"/>
    </row>
    <row r="721" spans="1:11" ht="14.25" customHeight="1" x14ac:dyDescent="0.2">
      <c r="A721" s="82"/>
      <c r="E721" s="87"/>
      <c r="K721" s="82"/>
    </row>
    <row r="722" spans="1:11" ht="14.25" customHeight="1" x14ac:dyDescent="0.2">
      <c r="A722" s="82"/>
      <c r="E722" s="87"/>
      <c r="K722" s="82"/>
    </row>
    <row r="723" spans="1:11" ht="14.25" customHeight="1" x14ac:dyDescent="0.2">
      <c r="A723" s="82"/>
      <c r="E723" s="87"/>
      <c r="K723" s="82"/>
    </row>
    <row r="724" spans="1:11" ht="14.25" customHeight="1" x14ac:dyDescent="0.2">
      <c r="A724" s="82"/>
      <c r="E724" s="87"/>
      <c r="K724" s="82"/>
    </row>
    <row r="725" spans="1:11" ht="14.25" customHeight="1" x14ac:dyDescent="0.2">
      <c r="A725" s="82"/>
      <c r="E725" s="87"/>
      <c r="K725" s="82"/>
    </row>
    <row r="726" spans="1:11" ht="14.25" customHeight="1" x14ac:dyDescent="0.2">
      <c r="A726" s="82"/>
      <c r="E726" s="87"/>
      <c r="K726" s="82"/>
    </row>
    <row r="727" spans="1:11" ht="14.25" customHeight="1" x14ac:dyDescent="0.2">
      <c r="A727" s="82"/>
      <c r="E727" s="87"/>
      <c r="K727" s="82"/>
    </row>
    <row r="728" spans="1:11" ht="14.25" customHeight="1" x14ac:dyDescent="0.2">
      <c r="A728" s="82"/>
      <c r="E728" s="87"/>
      <c r="K728" s="82"/>
    </row>
    <row r="729" spans="1:11" ht="14.25" customHeight="1" x14ac:dyDescent="0.2">
      <c r="A729" s="82"/>
      <c r="E729" s="87"/>
      <c r="K729" s="82"/>
    </row>
    <row r="730" spans="1:11" ht="14.25" customHeight="1" x14ac:dyDescent="0.2">
      <c r="A730" s="82"/>
      <c r="E730" s="87"/>
      <c r="K730" s="82"/>
    </row>
    <row r="731" spans="1:11" ht="14.25" customHeight="1" x14ac:dyDescent="0.2">
      <c r="A731" s="82"/>
      <c r="E731" s="87"/>
      <c r="K731" s="82"/>
    </row>
    <row r="732" spans="1:11" ht="14.25" customHeight="1" x14ac:dyDescent="0.2">
      <c r="A732" s="82"/>
      <c r="E732" s="87"/>
      <c r="K732" s="82"/>
    </row>
    <row r="733" spans="1:11" ht="14.25" customHeight="1" x14ac:dyDescent="0.2">
      <c r="A733" s="82"/>
      <c r="E733" s="87"/>
      <c r="K733" s="82"/>
    </row>
    <row r="734" spans="1:11" ht="14.25" customHeight="1" x14ac:dyDescent="0.2">
      <c r="A734" s="82"/>
      <c r="E734" s="87"/>
      <c r="K734" s="82"/>
    </row>
    <row r="735" spans="1:11" ht="14.25" customHeight="1" x14ac:dyDescent="0.2">
      <c r="A735" s="82"/>
      <c r="E735" s="87"/>
      <c r="K735" s="82"/>
    </row>
    <row r="736" spans="1:11" ht="14.25" customHeight="1" x14ac:dyDescent="0.2">
      <c r="A736" s="82"/>
      <c r="E736" s="87"/>
      <c r="K736" s="82"/>
    </row>
    <row r="737" spans="1:11" ht="14.25" customHeight="1" x14ac:dyDescent="0.2">
      <c r="A737" s="82"/>
      <c r="E737" s="87"/>
      <c r="K737" s="82"/>
    </row>
    <row r="738" spans="1:11" ht="14.25" customHeight="1" x14ac:dyDescent="0.2">
      <c r="A738" s="82"/>
      <c r="E738" s="87"/>
      <c r="K738" s="82"/>
    </row>
    <row r="739" spans="1:11" ht="14.25" customHeight="1" x14ac:dyDescent="0.2">
      <c r="A739" s="82"/>
      <c r="E739" s="87"/>
      <c r="K739" s="82"/>
    </row>
    <row r="740" spans="1:11" ht="14.25" customHeight="1" x14ac:dyDescent="0.2">
      <c r="A740" s="82"/>
      <c r="E740" s="87"/>
      <c r="K740" s="82"/>
    </row>
    <row r="741" spans="1:11" ht="14.25" customHeight="1" x14ac:dyDescent="0.2">
      <c r="A741" s="82"/>
      <c r="E741" s="87"/>
      <c r="K741" s="82"/>
    </row>
    <row r="742" spans="1:11" ht="14.25" customHeight="1" x14ac:dyDescent="0.2">
      <c r="A742" s="82"/>
      <c r="E742" s="87"/>
      <c r="K742" s="82"/>
    </row>
    <row r="743" spans="1:11" ht="14.25" customHeight="1" x14ac:dyDescent="0.2">
      <c r="A743" s="82"/>
      <c r="E743" s="87"/>
      <c r="K743" s="82"/>
    </row>
    <row r="744" spans="1:11" ht="14.25" customHeight="1" x14ac:dyDescent="0.2">
      <c r="A744" s="82"/>
      <c r="E744" s="87"/>
      <c r="K744" s="82"/>
    </row>
    <row r="745" spans="1:11" ht="14.25" customHeight="1" x14ac:dyDescent="0.2">
      <c r="A745" s="82"/>
      <c r="E745" s="87"/>
      <c r="K745" s="82"/>
    </row>
    <row r="746" spans="1:11" ht="14.25" customHeight="1" x14ac:dyDescent="0.2">
      <c r="A746" s="82"/>
      <c r="E746" s="87"/>
      <c r="K746" s="82"/>
    </row>
    <row r="747" spans="1:11" ht="14.25" customHeight="1" x14ac:dyDescent="0.2">
      <c r="A747" s="82"/>
      <c r="E747" s="87"/>
      <c r="K747" s="82"/>
    </row>
    <row r="748" spans="1:11" ht="14.25" customHeight="1" x14ac:dyDescent="0.2">
      <c r="A748" s="82"/>
      <c r="E748" s="87"/>
      <c r="K748" s="82"/>
    </row>
    <row r="749" spans="1:11" ht="14.25" customHeight="1" x14ac:dyDescent="0.2">
      <c r="A749" s="82"/>
      <c r="E749" s="87"/>
      <c r="K749" s="82"/>
    </row>
    <row r="750" spans="1:11" ht="14.25" customHeight="1" x14ac:dyDescent="0.2">
      <c r="A750" s="82"/>
      <c r="E750" s="87"/>
      <c r="K750" s="82"/>
    </row>
    <row r="751" spans="1:11" ht="14.25" customHeight="1" x14ac:dyDescent="0.2">
      <c r="A751" s="82"/>
      <c r="E751" s="87"/>
      <c r="K751" s="82"/>
    </row>
    <row r="752" spans="1:11" ht="14.25" customHeight="1" x14ac:dyDescent="0.2">
      <c r="A752" s="82"/>
      <c r="E752" s="87"/>
      <c r="K752" s="82"/>
    </row>
    <row r="753" spans="1:11" ht="14.25" customHeight="1" x14ac:dyDescent="0.2">
      <c r="A753" s="82"/>
      <c r="E753" s="87"/>
      <c r="K753" s="82"/>
    </row>
    <row r="754" spans="1:11" ht="14.25" customHeight="1" x14ac:dyDescent="0.2">
      <c r="A754" s="82"/>
      <c r="E754" s="87"/>
      <c r="K754" s="82"/>
    </row>
    <row r="755" spans="1:11" ht="14.25" customHeight="1" x14ac:dyDescent="0.2">
      <c r="A755" s="82"/>
      <c r="E755" s="87"/>
      <c r="K755" s="82"/>
    </row>
    <row r="756" spans="1:11" ht="14.25" customHeight="1" x14ac:dyDescent="0.2">
      <c r="A756" s="82"/>
      <c r="E756" s="87"/>
      <c r="K756" s="82"/>
    </row>
    <row r="757" spans="1:11" ht="14.25" customHeight="1" x14ac:dyDescent="0.2">
      <c r="A757" s="82"/>
      <c r="E757" s="87"/>
      <c r="K757" s="82"/>
    </row>
    <row r="758" spans="1:11" ht="14.25" customHeight="1" x14ac:dyDescent="0.2">
      <c r="A758" s="82"/>
      <c r="E758" s="87"/>
      <c r="K758" s="82"/>
    </row>
    <row r="759" spans="1:11" ht="14.25" customHeight="1" x14ac:dyDescent="0.2">
      <c r="A759" s="82"/>
      <c r="E759" s="87"/>
      <c r="K759" s="82"/>
    </row>
    <row r="760" spans="1:11" ht="14.25" customHeight="1" x14ac:dyDescent="0.2">
      <c r="A760" s="82"/>
      <c r="E760" s="87"/>
      <c r="K760" s="82"/>
    </row>
    <row r="761" spans="1:11" ht="14.25" customHeight="1" x14ac:dyDescent="0.2">
      <c r="A761" s="82"/>
      <c r="E761" s="87"/>
      <c r="K761" s="82"/>
    </row>
    <row r="762" spans="1:11" ht="14.25" customHeight="1" x14ac:dyDescent="0.2">
      <c r="A762" s="82"/>
      <c r="E762" s="87"/>
      <c r="K762" s="82"/>
    </row>
    <row r="763" spans="1:11" ht="14.25" customHeight="1" x14ac:dyDescent="0.2">
      <c r="A763" s="82"/>
      <c r="E763" s="87"/>
      <c r="K763" s="82"/>
    </row>
    <row r="764" spans="1:11" ht="14.25" customHeight="1" x14ac:dyDescent="0.2">
      <c r="A764" s="82"/>
      <c r="E764" s="87"/>
      <c r="K764" s="82"/>
    </row>
    <row r="765" spans="1:11" ht="14.25" customHeight="1" x14ac:dyDescent="0.2">
      <c r="A765" s="82"/>
      <c r="E765" s="87"/>
      <c r="K765" s="82"/>
    </row>
    <row r="766" spans="1:11" ht="14.25" customHeight="1" x14ac:dyDescent="0.2">
      <c r="A766" s="82"/>
      <c r="E766" s="87"/>
      <c r="K766" s="82"/>
    </row>
    <row r="767" spans="1:11" ht="14.25" customHeight="1" x14ac:dyDescent="0.2">
      <c r="A767" s="82"/>
      <c r="E767" s="87"/>
      <c r="K767" s="82"/>
    </row>
    <row r="768" spans="1:11" ht="14.25" customHeight="1" x14ac:dyDescent="0.2">
      <c r="A768" s="82"/>
      <c r="E768" s="87"/>
      <c r="K768" s="82"/>
    </row>
    <row r="769" spans="1:11" ht="14.25" customHeight="1" x14ac:dyDescent="0.2">
      <c r="A769" s="82"/>
      <c r="E769" s="87"/>
      <c r="K769" s="82"/>
    </row>
    <row r="770" spans="1:11" ht="14.25" customHeight="1" x14ac:dyDescent="0.2">
      <c r="A770" s="82"/>
      <c r="E770" s="87"/>
      <c r="K770" s="82"/>
    </row>
    <row r="771" spans="1:11" ht="14.25" customHeight="1" x14ac:dyDescent="0.2">
      <c r="A771" s="82"/>
      <c r="E771" s="87"/>
      <c r="K771" s="82"/>
    </row>
    <row r="772" spans="1:11" ht="14.25" customHeight="1" x14ac:dyDescent="0.2">
      <c r="A772" s="82"/>
      <c r="E772" s="87"/>
      <c r="K772" s="82"/>
    </row>
    <row r="773" spans="1:11" ht="14.25" customHeight="1" x14ac:dyDescent="0.2">
      <c r="A773" s="82"/>
      <c r="E773" s="87"/>
      <c r="K773" s="82"/>
    </row>
    <row r="774" spans="1:11" ht="14.25" customHeight="1" x14ac:dyDescent="0.2">
      <c r="A774" s="82"/>
      <c r="E774" s="87"/>
      <c r="K774" s="82"/>
    </row>
    <row r="775" spans="1:11" ht="14.25" customHeight="1" x14ac:dyDescent="0.2">
      <c r="A775" s="82"/>
      <c r="E775" s="87"/>
      <c r="K775" s="82"/>
    </row>
    <row r="776" spans="1:11" ht="14.25" customHeight="1" x14ac:dyDescent="0.2">
      <c r="A776" s="82"/>
      <c r="E776" s="87"/>
      <c r="K776" s="82"/>
    </row>
    <row r="777" spans="1:11" ht="14.25" customHeight="1" x14ac:dyDescent="0.2">
      <c r="A777" s="82"/>
      <c r="E777" s="87"/>
      <c r="K777" s="82"/>
    </row>
    <row r="778" spans="1:11" ht="14.25" customHeight="1" x14ac:dyDescent="0.2">
      <c r="A778" s="82"/>
      <c r="E778" s="87"/>
      <c r="K778" s="82"/>
    </row>
    <row r="779" spans="1:11" ht="14.25" customHeight="1" x14ac:dyDescent="0.2">
      <c r="A779" s="82"/>
      <c r="E779" s="87"/>
      <c r="K779" s="82"/>
    </row>
    <row r="780" spans="1:11" ht="14.25" customHeight="1" x14ac:dyDescent="0.2">
      <c r="A780" s="82"/>
      <c r="E780" s="87"/>
      <c r="K780" s="82"/>
    </row>
    <row r="781" spans="1:11" ht="14.25" customHeight="1" x14ac:dyDescent="0.2">
      <c r="A781" s="82"/>
      <c r="E781" s="87"/>
      <c r="K781" s="82"/>
    </row>
    <row r="782" spans="1:11" ht="14.25" customHeight="1" x14ac:dyDescent="0.2">
      <c r="A782" s="82"/>
      <c r="E782" s="87"/>
      <c r="K782" s="82"/>
    </row>
    <row r="783" spans="1:11" ht="14.25" customHeight="1" x14ac:dyDescent="0.2">
      <c r="A783" s="82"/>
      <c r="E783" s="87"/>
      <c r="K783" s="82"/>
    </row>
    <row r="784" spans="1:11" ht="14.25" customHeight="1" x14ac:dyDescent="0.2">
      <c r="A784" s="82"/>
      <c r="E784" s="87"/>
      <c r="K784" s="82"/>
    </row>
    <row r="785" spans="1:11" ht="14.25" customHeight="1" x14ac:dyDescent="0.2">
      <c r="A785" s="82"/>
      <c r="E785" s="87"/>
      <c r="K785" s="82"/>
    </row>
    <row r="786" spans="1:11" ht="14.25" customHeight="1" x14ac:dyDescent="0.2">
      <c r="A786" s="82"/>
      <c r="E786" s="87"/>
      <c r="K786" s="82"/>
    </row>
    <row r="787" spans="1:11" ht="14.25" customHeight="1" x14ac:dyDescent="0.2">
      <c r="A787" s="82"/>
      <c r="E787" s="87"/>
      <c r="K787" s="82"/>
    </row>
    <row r="788" spans="1:11" ht="14.25" customHeight="1" x14ac:dyDescent="0.2">
      <c r="A788" s="82"/>
      <c r="E788" s="87"/>
      <c r="K788" s="82"/>
    </row>
    <row r="789" spans="1:11" ht="14.25" customHeight="1" x14ac:dyDescent="0.2">
      <c r="A789" s="82"/>
      <c r="E789" s="87"/>
      <c r="K789" s="82"/>
    </row>
    <row r="790" spans="1:11" ht="14.25" customHeight="1" x14ac:dyDescent="0.2">
      <c r="A790" s="82"/>
      <c r="E790" s="87"/>
      <c r="K790" s="82"/>
    </row>
    <row r="791" spans="1:11" ht="14.25" customHeight="1" x14ac:dyDescent="0.2">
      <c r="A791" s="82"/>
      <c r="E791" s="87"/>
      <c r="K791" s="82"/>
    </row>
    <row r="792" spans="1:11" ht="14.25" customHeight="1" x14ac:dyDescent="0.2">
      <c r="A792" s="82"/>
      <c r="E792" s="87"/>
      <c r="K792" s="82"/>
    </row>
    <row r="793" spans="1:11" ht="14.25" customHeight="1" x14ac:dyDescent="0.2">
      <c r="A793" s="82"/>
      <c r="E793" s="87"/>
      <c r="K793" s="82"/>
    </row>
    <row r="794" spans="1:11" ht="14.25" customHeight="1" x14ac:dyDescent="0.2">
      <c r="A794" s="82"/>
      <c r="E794" s="87"/>
      <c r="K794" s="82"/>
    </row>
    <row r="795" spans="1:11" ht="14.25" customHeight="1" x14ac:dyDescent="0.2">
      <c r="A795" s="82"/>
      <c r="E795" s="87"/>
      <c r="K795" s="82"/>
    </row>
    <row r="796" spans="1:11" ht="14.25" customHeight="1" x14ac:dyDescent="0.2">
      <c r="A796" s="82"/>
      <c r="E796" s="87"/>
      <c r="K796" s="82"/>
    </row>
    <row r="797" spans="1:11" ht="14.25" customHeight="1" x14ac:dyDescent="0.2">
      <c r="A797" s="82"/>
      <c r="E797" s="87"/>
      <c r="K797" s="82"/>
    </row>
    <row r="798" spans="1:11" ht="14.25" customHeight="1" x14ac:dyDescent="0.2">
      <c r="A798" s="82"/>
      <c r="E798" s="87"/>
      <c r="K798" s="82"/>
    </row>
    <row r="799" spans="1:11" ht="14.25" customHeight="1" x14ac:dyDescent="0.2">
      <c r="A799" s="82"/>
      <c r="E799" s="87"/>
      <c r="K799" s="82"/>
    </row>
    <row r="800" spans="1:11" ht="14.25" customHeight="1" x14ac:dyDescent="0.2">
      <c r="A800" s="82"/>
      <c r="E800" s="87"/>
      <c r="K800" s="82"/>
    </row>
    <row r="801" spans="1:11" ht="14.25" customHeight="1" x14ac:dyDescent="0.2">
      <c r="A801" s="82"/>
      <c r="E801" s="87"/>
      <c r="K801" s="82"/>
    </row>
    <row r="802" spans="1:11" ht="14.25" customHeight="1" x14ac:dyDescent="0.2">
      <c r="A802" s="82"/>
      <c r="E802" s="87"/>
      <c r="K802" s="82"/>
    </row>
    <row r="803" spans="1:11" ht="14.25" customHeight="1" x14ac:dyDescent="0.2">
      <c r="A803" s="82"/>
      <c r="E803" s="87"/>
      <c r="K803" s="82"/>
    </row>
    <row r="804" spans="1:11" ht="14.25" customHeight="1" x14ac:dyDescent="0.2">
      <c r="A804" s="82"/>
      <c r="E804" s="87"/>
      <c r="K804" s="82"/>
    </row>
    <row r="805" spans="1:11" ht="14.25" customHeight="1" x14ac:dyDescent="0.2">
      <c r="A805" s="82"/>
      <c r="E805" s="87"/>
      <c r="K805" s="82"/>
    </row>
    <row r="806" spans="1:11" ht="14.25" customHeight="1" x14ac:dyDescent="0.2">
      <c r="A806" s="82"/>
      <c r="E806" s="87"/>
      <c r="K806" s="82"/>
    </row>
    <row r="807" spans="1:11" ht="14.25" customHeight="1" x14ac:dyDescent="0.2">
      <c r="A807" s="82"/>
      <c r="E807" s="87"/>
      <c r="K807" s="82"/>
    </row>
    <row r="808" spans="1:11" ht="14.25" customHeight="1" x14ac:dyDescent="0.2">
      <c r="A808" s="82"/>
      <c r="E808" s="87"/>
      <c r="K808" s="82"/>
    </row>
    <row r="809" spans="1:11" ht="14.25" customHeight="1" x14ac:dyDescent="0.2">
      <c r="A809" s="82"/>
      <c r="E809" s="87"/>
      <c r="K809" s="82"/>
    </row>
    <row r="810" spans="1:11" ht="14.25" customHeight="1" x14ac:dyDescent="0.2">
      <c r="A810" s="82"/>
      <c r="E810" s="87"/>
      <c r="K810" s="82"/>
    </row>
    <row r="811" spans="1:11" ht="14.25" customHeight="1" x14ac:dyDescent="0.2">
      <c r="A811" s="82"/>
      <c r="E811" s="87"/>
      <c r="K811" s="82"/>
    </row>
    <row r="812" spans="1:11" ht="14.25" customHeight="1" x14ac:dyDescent="0.2">
      <c r="A812" s="82"/>
      <c r="E812" s="87"/>
      <c r="K812" s="82"/>
    </row>
    <row r="813" spans="1:11" ht="14.25" customHeight="1" x14ac:dyDescent="0.2">
      <c r="A813" s="82"/>
      <c r="E813" s="87"/>
      <c r="K813" s="82"/>
    </row>
    <row r="814" spans="1:11" ht="14.25" customHeight="1" x14ac:dyDescent="0.2">
      <c r="A814" s="82"/>
      <c r="E814" s="87"/>
      <c r="K814" s="82"/>
    </row>
    <row r="815" spans="1:11" ht="14.25" customHeight="1" x14ac:dyDescent="0.2">
      <c r="A815" s="82"/>
      <c r="E815" s="87"/>
      <c r="K815" s="82"/>
    </row>
    <row r="816" spans="1:11" ht="14.25" customHeight="1" x14ac:dyDescent="0.2">
      <c r="A816" s="82"/>
      <c r="E816" s="87"/>
      <c r="K816" s="82"/>
    </row>
    <row r="817" spans="1:11" ht="14.25" customHeight="1" x14ac:dyDescent="0.2">
      <c r="A817" s="82"/>
      <c r="E817" s="87"/>
      <c r="K817" s="82"/>
    </row>
    <row r="818" spans="1:11" ht="14.25" customHeight="1" x14ac:dyDescent="0.2">
      <c r="A818" s="82"/>
      <c r="E818" s="87"/>
      <c r="K818" s="82"/>
    </row>
    <row r="819" spans="1:11" ht="14.25" customHeight="1" x14ac:dyDescent="0.2">
      <c r="A819" s="82"/>
      <c r="E819" s="87"/>
      <c r="K819" s="82"/>
    </row>
    <row r="820" spans="1:11" ht="14.25" customHeight="1" x14ac:dyDescent="0.2">
      <c r="A820" s="82"/>
      <c r="E820" s="87"/>
      <c r="K820" s="82"/>
    </row>
    <row r="821" spans="1:11" ht="14.25" customHeight="1" x14ac:dyDescent="0.2">
      <c r="A821" s="82"/>
      <c r="E821" s="87"/>
      <c r="K821" s="82"/>
    </row>
    <row r="822" spans="1:11" ht="14.25" customHeight="1" x14ac:dyDescent="0.2">
      <c r="A822" s="82"/>
      <c r="E822" s="87"/>
      <c r="K822" s="82"/>
    </row>
    <row r="823" spans="1:11" ht="14.25" customHeight="1" x14ac:dyDescent="0.2">
      <c r="A823" s="82"/>
      <c r="E823" s="87"/>
      <c r="K823" s="82"/>
    </row>
    <row r="824" spans="1:11" ht="14.25" customHeight="1" x14ac:dyDescent="0.2">
      <c r="A824" s="82"/>
      <c r="E824" s="87"/>
      <c r="K824" s="82"/>
    </row>
    <row r="825" spans="1:11" ht="14.25" customHeight="1" x14ac:dyDescent="0.2">
      <c r="A825" s="82"/>
      <c r="E825" s="87"/>
      <c r="K825" s="82"/>
    </row>
    <row r="826" spans="1:11" ht="14.25" customHeight="1" x14ac:dyDescent="0.2">
      <c r="A826" s="82"/>
      <c r="E826" s="87"/>
      <c r="K826" s="82"/>
    </row>
    <row r="827" spans="1:11" ht="14.25" customHeight="1" x14ac:dyDescent="0.2">
      <c r="A827" s="82"/>
      <c r="E827" s="87"/>
      <c r="K827" s="82"/>
    </row>
    <row r="828" spans="1:11" ht="14.25" customHeight="1" x14ac:dyDescent="0.2">
      <c r="A828" s="82"/>
      <c r="E828" s="87"/>
      <c r="K828" s="82"/>
    </row>
    <row r="829" spans="1:11" ht="14.25" customHeight="1" x14ac:dyDescent="0.2">
      <c r="A829" s="82"/>
      <c r="E829" s="87"/>
      <c r="K829" s="82"/>
    </row>
    <row r="830" spans="1:11" ht="14.25" customHeight="1" x14ac:dyDescent="0.2">
      <c r="A830" s="82"/>
      <c r="E830" s="87"/>
      <c r="K830" s="82"/>
    </row>
    <row r="831" spans="1:11" ht="14.25" customHeight="1" x14ac:dyDescent="0.2">
      <c r="A831" s="82"/>
      <c r="E831" s="87"/>
      <c r="K831" s="82"/>
    </row>
    <row r="832" spans="1:11" ht="14.25" customHeight="1" x14ac:dyDescent="0.2">
      <c r="A832" s="82"/>
      <c r="E832" s="87"/>
      <c r="K832" s="82"/>
    </row>
    <row r="833" spans="1:11" ht="14.25" customHeight="1" x14ac:dyDescent="0.2">
      <c r="A833" s="82"/>
      <c r="E833" s="87"/>
      <c r="K833" s="82"/>
    </row>
    <row r="834" spans="1:11" ht="14.25" customHeight="1" x14ac:dyDescent="0.2">
      <c r="A834" s="82"/>
      <c r="E834" s="87"/>
      <c r="K834" s="82"/>
    </row>
    <row r="835" spans="1:11" ht="14.25" customHeight="1" x14ac:dyDescent="0.2">
      <c r="A835" s="82"/>
      <c r="E835" s="87"/>
      <c r="K835" s="82"/>
    </row>
    <row r="836" spans="1:11" ht="14.25" customHeight="1" x14ac:dyDescent="0.2">
      <c r="A836" s="82"/>
      <c r="E836" s="87"/>
      <c r="K836" s="82"/>
    </row>
    <row r="837" spans="1:11" ht="14.25" customHeight="1" x14ac:dyDescent="0.2">
      <c r="A837" s="82"/>
      <c r="E837" s="87"/>
      <c r="K837" s="82"/>
    </row>
    <row r="838" spans="1:11" ht="14.25" customHeight="1" x14ac:dyDescent="0.2">
      <c r="A838" s="82"/>
      <c r="E838" s="87"/>
      <c r="K838" s="82"/>
    </row>
    <row r="839" spans="1:11" ht="14.25" customHeight="1" x14ac:dyDescent="0.2">
      <c r="A839" s="82"/>
      <c r="E839" s="87"/>
      <c r="K839" s="82"/>
    </row>
    <row r="840" spans="1:11" ht="14.25" customHeight="1" x14ac:dyDescent="0.2">
      <c r="A840" s="82"/>
      <c r="E840" s="87"/>
      <c r="K840" s="82"/>
    </row>
    <row r="841" spans="1:11" ht="14.25" customHeight="1" x14ac:dyDescent="0.2">
      <c r="A841" s="82"/>
      <c r="E841" s="87"/>
      <c r="K841" s="82"/>
    </row>
    <row r="842" spans="1:11" ht="14.25" customHeight="1" x14ac:dyDescent="0.2">
      <c r="A842" s="82"/>
      <c r="E842" s="87"/>
      <c r="K842" s="82"/>
    </row>
    <row r="843" spans="1:11" ht="14.25" customHeight="1" x14ac:dyDescent="0.2">
      <c r="A843" s="82"/>
      <c r="E843" s="87"/>
      <c r="K843" s="82"/>
    </row>
    <row r="844" spans="1:11" ht="14.25" customHeight="1" x14ac:dyDescent="0.2">
      <c r="A844" s="82"/>
      <c r="E844" s="87"/>
      <c r="K844" s="82"/>
    </row>
    <row r="845" spans="1:11" ht="14.25" customHeight="1" x14ac:dyDescent="0.2">
      <c r="A845" s="82"/>
      <c r="E845" s="87"/>
      <c r="K845" s="82"/>
    </row>
    <row r="846" spans="1:11" ht="14.25" customHeight="1" x14ac:dyDescent="0.2">
      <c r="A846" s="82"/>
      <c r="E846" s="87"/>
      <c r="K846" s="82"/>
    </row>
    <row r="847" spans="1:11" ht="14.25" customHeight="1" x14ac:dyDescent="0.2">
      <c r="A847" s="82"/>
      <c r="E847" s="87"/>
      <c r="K847" s="82"/>
    </row>
    <row r="848" spans="1:11" ht="14.25" customHeight="1" x14ac:dyDescent="0.2">
      <c r="A848" s="82"/>
      <c r="E848" s="87"/>
      <c r="K848" s="82"/>
    </row>
    <row r="849" spans="1:11" ht="14.25" customHeight="1" x14ac:dyDescent="0.2">
      <c r="A849" s="82"/>
      <c r="E849" s="87"/>
      <c r="K849" s="82"/>
    </row>
    <row r="850" spans="1:11" ht="14.25" customHeight="1" x14ac:dyDescent="0.2">
      <c r="A850" s="82"/>
      <c r="E850" s="87"/>
      <c r="K850" s="82"/>
    </row>
    <row r="851" spans="1:11" ht="14.25" customHeight="1" x14ac:dyDescent="0.2">
      <c r="A851" s="82"/>
      <c r="E851" s="87"/>
      <c r="K851" s="82"/>
    </row>
    <row r="852" spans="1:11" ht="14.25" customHeight="1" x14ac:dyDescent="0.2">
      <c r="A852" s="82"/>
      <c r="E852" s="87"/>
      <c r="K852" s="82"/>
    </row>
    <row r="853" spans="1:11" ht="14.25" customHeight="1" x14ac:dyDescent="0.2">
      <c r="A853" s="82"/>
      <c r="E853" s="87"/>
      <c r="K853" s="82"/>
    </row>
    <row r="854" spans="1:11" ht="14.25" customHeight="1" x14ac:dyDescent="0.2">
      <c r="A854" s="82"/>
      <c r="E854" s="87"/>
      <c r="K854" s="82"/>
    </row>
    <row r="855" spans="1:11" ht="14.25" customHeight="1" x14ac:dyDescent="0.2">
      <c r="A855" s="82"/>
      <c r="E855" s="87"/>
      <c r="K855" s="82"/>
    </row>
    <row r="856" spans="1:11" ht="14.25" customHeight="1" x14ac:dyDescent="0.2">
      <c r="A856" s="82"/>
      <c r="E856" s="87"/>
      <c r="K856" s="82"/>
    </row>
    <row r="857" spans="1:11" ht="14.25" customHeight="1" x14ac:dyDescent="0.2">
      <c r="A857" s="82"/>
      <c r="E857" s="87"/>
      <c r="K857" s="82"/>
    </row>
    <row r="858" spans="1:11" ht="14.25" customHeight="1" x14ac:dyDescent="0.2">
      <c r="A858" s="82"/>
      <c r="E858" s="87"/>
      <c r="K858" s="82"/>
    </row>
    <row r="859" spans="1:11" ht="14.25" customHeight="1" x14ac:dyDescent="0.2">
      <c r="A859" s="82"/>
      <c r="E859" s="87"/>
      <c r="K859" s="82"/>
    </row>
    <row r="860" spans="1:11" ht="14.25" customHeight="1" x14ac:dyDescent="0.2">
      <c r="A860" s="82"/>
      <c r="E860" s="87"/>
      <c r="K860" s="82"/>
    </row>
    <row r="861" spans="1:11" ht="14.25" customHeight="1" x14ac:dyDescent="0.2">
      <c r="A861" s="82"/>
      <c r="E861" s="87"/>
      <c r="K861" s="82"/>
    </row>
    <row r="862" spans="1:11" ht="14.25" customHeight="1" x14ac:dyDescent="0.2">
      <c r="A862" s="82"/>
      <c r="E862" s="87"/>
      <c r="K862" s="82"/>
    </row>
    <row r="863" spans="1:11" ht="14.25" customHeight="1" x14ac:dyDescent="0.2">
      <c r="A863" s="82"/>
      <c r="E863" s="87"/>
      <c r="K863" s="82"/>
    </row>
    <row r="864" spans="1:11" ht="14.25" customHeight="1" x14ac:dyDescent="0.2">
      <c r="A864" s="82"/>
      <c r="E864" s="87"/>
      <c r="K864" s="82"/>
    </row>
    <row r="865" spans="1:11" ht="14.25" customHeight="1" x14ac:dyDescent="0.2">
      <c r="A865" s="82"/>
      <c r="E865" s="87"/>
      <c r="K865" s="82"/>
    </row>
    <row r="866" spans="1:11" ht="14.25" customHeight="1" x14ac:dyDescent="0.2">
      <c r="A866" s="82"/>
      <c r="E866" s="87"/>
      <c r="K866" s="82"/>
    </row>
    <row r="867" spans="1:11" ht="14.25" customHeight="1" x14ac:dyDescent="0.2">
      <c r="A867" s="82"/>
      <c r="E867" s="87"/>
      <c r="K867" s="82"/>
    </row>
    <row r="868" spans="1:11" ht="14.25" customHeight="1" x14ac:dyDescent="0.2">
      <c r="A868" s="82"/>
      <c r="E868" s="87"/>
      <c r="K868" s="82"/>
    </row>
    <row r="869" spans="1:11" ht="14.25" customHeight="1" x14ac:dyDescent="0.2">
      <c r="A869" s="82"/>
      <c r="E869" s="87"/>
      <c r="K869" s="82"/>
    </row>
    <row r="870" spans="1:11" ht="14.25" customHeight="1" x14ac:dyDescent="0.2">
      <c r="A870" s="82"/>
      <c r="E870" s="87"/>
      <c r="K870" s="82"/>
    </row>
    <row r="871" spans="1:11" ht="14.25" customHeight="1" x14ac:dyDescent="0.2">
      <c r="A871" s="82"/>
      <c r="E871" s="87"/>
      <c r="K871" s="82"/>
    </row>
    <row r="872" spans="1:11" ht="14.25" customHeight="1" x14ac:dyDescent="0.2">
      <c r="A872" s="82"/>
      <c r="E872" s="87"/>
      <c r="K872" s="82"/>
    </row>
    <row r="873" spans="1:11" ht="14.25" customHeight="1" x14ac:dyDescent="0.2">
      <c r="A873" s="82"/>
      <c r="E873" s="87"/>
      <c r="K873" s="82"/>
    </row>
    <row r="874" spans="1:11" ht="14.25" customHeight="1" x14ac:dyDescent="0.2">
      <c r="A874" s="82"/>
      <c r="E874" s="87"/>
      <c r="K874" s="82"/>
    </row>
    <row r="875" spans="1:11" ht="14.25" customHeight="1" x14ac:dyDescent="0.2">
      <c r="A875" s="82"/>
      <c r="E875" s="87"/>
      <c r="K875" s="82"/>
    </row>
    <row r="876" spans="1:11" ht="14.25" customHeight="1" x14ac:dyDescent="0.2">
      <c r="A876" s="82"/>
      <c r="E876" s="87"/>
      <c r="K876" s="82"/>
    </row>
    <row r="877" spans="1:11" ht="14.25" customHeight="1" x14ac:dyDescent="0.2">
      <c r="A877" s="82"/>
      <c r="E877" s="87"/>
      <c r="K877" s="82"/>
    </row>
    <row r="878" spans="1:11" ht="14.25" customHeight="1" x14ac:dyDescent="0.2">
      <c r="A878" s="82"/>
      <c r="E878" s="87"/>
      <c r="K878" s="82"/>
    </row>
    <row r="879" spans="1:11" ht="14.25" customHeight="1" x14ac:dyDescent="0.2">
      <c r="A879" s="82"/>
      <c r="E879" s="87"/>
      <c r="K879" s="82"/>
    </row>
    <row r="880" spans="1:11" ht="14.25" customHeight="1" x14ac:dyDescent="0.2">
      <c r="A880" s="82"/>
      <c r="E880" s="87"/>
      <c r="K880" s="82"/>
    </row>
    <row r="881" spans="1:11" ht="14.25" customHeight="1" x14ac:dyDescent="0.2">
      <c r="A881" s="82"/>
      <c r="E881" s="87"/>
      <c r="K881" s="82"/>
    </row>
    <row r="882" spans="1:11" ht="14.25" customHeight="1" x14ac:dyDescent="0.2">
      <c r="A882" s="82"/>
      <c r="E882" s="87"/>
      <c r="K882" s="82"/>
    </row>
    <row r="883" spans="1:11" ht="14.25" customHeight="1" x14ac:dyDescent="0.2">
      <c r="A883" s="82"/>
      <c r="E883" s="87"/>
      <c r="K883" s="82"/>
    </row>
    <row r="884" spans="1:11" ht="14.25" customHeight="1" x14ac:dyDescent="0.2">
      <c r="A884" s="82"/>
      <c r="E884" s="87"/>
      <c r="K884" s="82"/>
    </row>
    <row r="885" spans="1:11" ht="14.25" customHeight="1" x14ac:dyDescent="0.2">
      <c r="A885" s="82"/>
      <c r="E885" s="87"/>
      <c r="K885" s="82"/>
    </row>
    <row r="886" spans="1:11" ht="14.25" customHeight="1" x14ac:dyDescent="0.2">
      <c r="A886" s="82"/>
      <c r="E886" s="87"/>
      <c r="K886" s="82"/>
    </row>
    <row r="887" spans="1:11" ht="14.25" customHeight="1" x14ac:dyDescent="0.2">
      <c r="A887" s="82"/>
      <c r="E887" s="87"/>
      <c r="K887" s="82"/>
    </row>
    <row r="888" spans="1:11" ht="14.25" customHeight="1" x14ac:dyDescent="0.2">
      <c r="A888" s="82"/>
      <c r="E888" s="87"/>
      <c r="K888" s="82"/>
    </row>
    <row r="889" spans="1:11" ht="14.25" customHeight="1" x14ac:dyDescent="0.2">
      <c r="A889" s="82"/>
      <c r="E889" s="87"/>
      <c r="K889" s="82"/>
    </row>
    <row r="890" spans="1:11" ht="14.25" customHeight="1" x14ac:dyDescent="0.2">
      <c r="A890" s="82"/>
      <c r="E890" s="87"/>
      <c r="K890" s="82"/>
    </row>
    <row r="891" spans="1:11" ht="14.25" customHeight="1" x14ac:dyDescent="0.2">
      <c r="A891" s="82"/>
      <c r="E891" s="87"/>
      <c r="K891" s="82"/>
    </row>
    <row r="892" spans="1:11" ht="14.25" customHeight="1" x14ac:dyDescent="0.2">
      <c r="A892" s="82"/>
      <c r="E892" s="87"/>
      <c r="K892" s="82"/>
    </row>
    <row r="893" spans="1:11" ht="14.25" customHeight="1" x14ac:dyDescent="0.2">
      <c r="A893" s="82"/>
      <c r="E893" s="87"/>
      <c r="K893" s="82"/>
    </row>
    <row r="894" spans="1:11" ht="14.25" customHeight="1" x14ac:dyDescent="0.2">
      <c r="A894" s="82"/>
      <c r="E894" s="87"/>
      <c r="K894" s="82"/>
    </row>
    <row r="895" spans="1:11" ht="14.25" customHeight="1" x14ac:dyDescent="0.2">
      <c r="A895" s="82"/>
      <c r="E895" s="87"/>
      <c r="K895" s="82"/>
    </row>
    <row r="896" spans="1:11" ht="14.25" customHeight="1" x14ac:dyDescent="0.2">
      <c r="A896" s="82"/>
      <c r="E896" s="87"/>
      <c r="K896" s="82"/>
    </row>
    <row r="897" spans="1:11" ht="14.25" customHeight="1" x14ac:dyDescent="0.2">
      <c r="A897" s="82"/>
      <c r="E897" s="87"/>
      <c r="K897" s="82"/>
    </row>
    <row r="898" spans="1:11" ht="14.25" customHeight="1" x14ac:dyDescent="0.2">
      <c r="A898" s="82"/>
      <c r="E898" s="87"/>
      <c r="K898" s="82"/>
    </row>
    <row r="899" spans="1:11" ht="14.25" customHeight="1" x14ac:dyDescent="0.2">
      <c r="A899" s="82"/>
      <c r="E899" s="87"/>
      <c r="K899" s="82"/>
    </row>
    <row r="900" spans="1:11" ht="14.25" customHeight="1" x14ac:dyDescent="0.2">
      <c r="A900" s="82"/>
      <c r="E900" s="87"/>
      <c r="K900" s="82"/>
    </row>
    <row r="901" spans="1:11" ht="14.25" customHeight="1" x14ac:dyDescent="0.2">
      <c r="A901" s="82"/>
      <c r="E901" s="87"/>
      <c r="K901" s="82"/>
    </row>
    <row r="902" spans="1:11" ht="14.25" customHeight="1" x14ac:dyDescent="0.2">
      <c r="A902" s="82"/>
      <c r="E902" s="87"/>
      <c r="K902" s="82"/>
    </row>
    <row r="903" spans="1:11" ht="14.25" customHeight="1" x14ac:dyDescent="0.2">
      <c r="A903" s="82"/>
      <c r="E903" s="87"/>
      <c r="K903" s="82"/>
    </row>
    <row r="904" spans="1:11" ht="14.25" customHeight="1" x14ac:dyDescent="0.2">
      <c r="A904" s="82"/>
      <c r="E904" s="87"/>
      <c r="K904" s="82"/>
    </row>
    <row r="905" spans="1:11" ht="14.25" customHeight="1" x14ac:dyDescent="0.2">
      <c r="A905" s="82"/>
      <c r="E905" s="87"/>
      <c r="K905" s="82"/>
    </row>
    <row r="906" spans="1:11" ht="14.25" customHeight="1" x14ac:dyDescent="0.2">
      <c r="A906" s="82"/>
      <c r="E906" s="87"/>
      <c r="K906" s="82"/>
    </row>
    <row r="907" spans="1:11" ht="14.25" customHeight="1" x14ac:dyDescent="0.2">
      <c r="A907" s="82"/>
      <c r="E907" s="87"/>
      <c r="K907" s="82"/>
    </row>
    <row r="908" spans="1:11" ht="14.25" customHeight="1" x14ac:dyDescent="0.2">
      <c r="A908" s="82"/>
      <c r="E908" s="87"/>
      <c r="K908" s="82"/>
    </row>
    <row r="909" spans="1:11" ht="14.25" customHeight="1" x14ac:dyDescent="0.2">
      <c r="A909" s="82"/>
      <c r="E909" s="87"/>
      <c r="K909" s="82"/>
    </row>
    <row r="910" spans="1:11" ht="14.25" customHeight="1" x14ac:dyDescent="0.2">
      <c r="A910" s="82"/>
      <c r="E910" s="87"/>
      <c r="K910" s="82"/>
    </row>
    <row r="911" spans="1:11" ht="14.25" customHeight="1" x14ac:dyDescent="0.2">
      <c r="A911" s="82"/>
      <c r="E911" s="87"/>
      <c r="K911" s="82"/>
    </row>
    <row r="912" spans="1:11" ht="14.25" customHeight="1" x14ac:dyDescent="0.2">
      <c r="A912" s="82"/>
      <c r="E912" s="87"/>
      <c r="K912" s="82"/>
    </row>
    <row r="913" spans="1:11" ht="14.25" customHeight="1" x14ac:dyDescent="0.2">
      <c r="A913" s="82"/>
      <c r="E913" s="87"/>
      <c r="K913" s="82"/>
    </row>
    <row r="914" spans="1:11" ht="14.25" customHeight="1" x14ac:dyDescent="0.2">
      <c r="A914" s="82"/>
      <c r="E914" s="87"/>
      <c r="K914" s="82"/>
    </row>
    <row r="915" spans="1:11" ht="14.25" customHeight="1" x14ac:dyDescent="0.2">
      <c r="A915" s="82"/>
      <c r="E915" s="87"/>
      <c r="K915" s="82"/>
    </row>
    <row r="916" spans="1:11" ht="14.25" customHeight="1" x14ac:dyDescent="0.2">
      <c r="A916" s="82"/>
      <c r="E916" s="87"/>
      <c r="K916" s="82"/>
    </row>
    <row r="917" spans="1:11" ht="14.25" customHeight="1" x14ac:dyDescent="0.2">
      <c r="A917" s="82"/>
      <c r="E917" s="87"/>
      <c r="K917" s="82"/>
    </row>
    <row r="918" spans="1:11" ht="14.25" customHeight="1" x14ac:dyDescent="0.2">
      <c r="A918" s="82"/>
      <c r="E918" s="87"/>
      <c r="K918" s="82"/>
    </row>
    <row r="919" spans="1:11" ht="14.25" customHeight="1" x14ac:dyDescent="0.2">
      <c r="A919" s="82"/>
      <c r="E919" s="87"/>
      <c r="K919" s="82"/>
    </row>
    <row r="920" spans="1:11" ht="14.25" customHeight="1" x14ac:dyDescent="0.2">
      <c r="A920" s="82"/>
      <c r="E920" s="87"/>
      <c r="K920" s="82"/>
    </row>
    <row r="921" spans="1:11" ht="14.25" customHeight="1" x14ac:dyDescent="0.2">
      <c r="A921" s="82"/>
      <c r="E921" s="87"/>
      <c r="K921" s="82"/>
    </row>
    <row r="922" spans="1:11" ht="14.25" customHeight="1" x14ac:dyDescent="0.2">
      <c r="A922" s="82"/>
      <c r="E922" s="87"/>
      <c r="K922" s="82"/>
    </row>
    <row r="923" spans="1:11" ht="14.25" customHeight="1" x14ac:dyDescent="0.2">
      <c r="A923" s="82"/>
      <c r="E923" s="87"/>
      <c r="K923" s="82"/>
    </row>
    <row r="924" spans="1:11" ht="14.25" customHeight="1" x14ac:dyDescent="0.2">
      <c r="A924" s="82"/>
      <c r="E924" s="87"/>
      <c r="K924" s="82"/>
    </row>
    <row r="925" spans="1:11" ht="14.25" customHeight="1" x14ac:dyDescent="0.2">
      <c r="A925" s="82"/>
      <c r="E925" s="87"/>
      <c r="K925" s="82"/>
    </row>
    <row r="926" spans="1:11" ht="14.25" customHeight="1" x14ac:dyDescent="0.2">
      <c r="A926" s="82"/>
      <c r="E926" s="87"/>
      <c r="K926" s="82"/>
    </row>
    <row r="927" spans="1:11" ht="14.25" customHeight="1" x14ac:dyDescent="0.2">
      <c r="A927" s="82"/>
      <c r="E927" s="87"/>
      <c r="K927" s="82"/>
    </row>
    <row r="928" spans="1:11" ht="14.25" customHeight="1" x14ac:dyDescent="0.2">
      <c r="A928" s="82"/>
      <c r="E928" s="87"/>
      <c r="K928" s="82"/>
    </row>
    <row r="929" spans="1:11" ht="14.25" customHeight="1" x14ac:dyDescent="0.2">
      <c r="A929" s="82"/>
      <c r="E929" s="87"/>
      <c r="K929" s="82"/>
    </row>
    <row r="930" spans="1:11" ht="14.25" customHeight="1" x14ac:dyDescent="0.2">
      <c r="A930" s="82"/>
      <c r="E930" s="87"/>
      <c r="K930" s="82"/>
    </row>
    <row r="931" spans="1:11" ht="14.25" customHeight="1" x14ac:dyDescent="0.2">
      <c r="A931" s="82"/>
      <c r="E931" s="87"/>
      <c r="K931" s="82"/>
    </row>
    <row r="932" spans="1:11" ht="14.25" customHeight="1" x14ac:dyDescent="0.2">
      <c r="A932" s="82"/>
      <c r="E932" s="87"/>
      <c r="K932" s="82"/>
    </row>
    <row r="933" spans="1:11" ht="14.25" customHeight="1" x14ac:dyDescent="0.2">
      <c r="A933" s="82"/>
      <c r="E933" s="87"/>
      <c r="K933" s="82"/>
    </row>
    <row r="934" spans="1:11" ht="14.25" customHeight="1" x14ac:dyDescent="0.2">
      <c r="A934" s="82"/>
      <c r="E934" s="87"/>
      <c r="K934" s="82"/>
    </row>
    <row r="935" spans="1:11" ht="14.25" customHeight="1" x14ac:dyDescent="0.2">
      <c r="A935" s="82"/>
      <c r="E935" s="87"/>
      <c r="K935" s="82"/>
    </row>
    <row r="936" spans="1:11" ht="14.25" customHeight="1" x14ac:dyDescent="0.2">
      <c r="A936" s="82"/>
      <c r="E936" s="87"/>
      <c r="K936" s="82"/>
    </row>
    <row r="937" spans="1:11" ht="14.25" customHeight="1" x14ac:dyDescent="0.2">
      <c r="A937" s="82"/>
      <c r="E937" s="87"/>
      <c r="K937" s="82"/>
    </row>
    <row r="938" spans="1:11" ht="14.25" customHeight="1" x14ac:dyDescent="0.2">
      <c r="A938" s="82"/>
      <c r="E938" s="87"/>
      <c r="K938" s="82"/>
    </row>
    <row r="939" spans="1:11" ht="14.25" customHeight="1" x14ac:dyDescent="0.2">
      <c r="A939" s="82"/>
      <c r="E939" s="87"/>
      <c r="K939" s="82"/>
    </row>
    <row r="940" spans="1:11" ht="14.25" customHeight="1" x14ac:dyDescent="0.2">
      <c r="A940" s="82"/>
      <c r="E940" s="87"/>
      <c r="K940" s="82"/>
    </row>
    <row r="941" spans="1:11" ht="14.25" customHeight="1" x14ac:dyDescent="0.2">
      <c r="A941" s="82"/>
      <c r="E941" s="87"/>
      <c r="K941" s="82"/>
    </row>
    <row r="942" spans="1:11" ht="14.25" customHeight="1" x14ac:dyDescent="0.2">
      <c r="A942" s="82"/>
      <c r="E942" s="87"/>
      <c r="K942" s="82"/>
    </row>
    <row r="943" spans="1:11" ht="14.25" customHeight="1" x14ac:dyDescent="0.2">
      <c r="A943" s="82"/>
      <c r="E943" s="87"/>
      <c r="K943" s="82"/>
    </row>
    <row r="944" spans="1:11" ht="14.25" customHeight="1" x14ac:dyDescent="0.2">
      <c r="A944" s="82"/>
      <c r="E944" s="87"/>
      <c r="K944" s="82"/>
    </row>
    <row r="945" spans="1:11" ht="14.25" customHeight="1" x14ac:dyDescent="0.2">
      <c r="A945" s="82"/>
      <c r="E945" s="87"/>
      <c r="K945" s="82"/>
    </row>
    <row r="946" spans="1:11" ht="14.25" customHeight="1" x14ac:dyDescent="0.2">
      <c r="A946" s="82"/>
      <c r="E946" s="87"/>
      <c r="K946" s="82"/>
    </row>
    <row r="947" spans="1:11" ht="14.25" customHeight="1" x14ac:dyDescent="0.2">
      <c r="A947" s="82"/>
      <c r="E947" s="87"/>
      <c r="K947" s="82"/>
    </row>
    <row r="948" spans="1:11" ht="14.25" customHeight="1" x14ac:dyDescent="0.2">
      <c r="A948" s="82"/>
      <c r="E948" s="87"/>
      <c r="K948" s="82"/>
    </row>
    <row r="949" spans="1:11" ht="14.25" customHeight="1" x14ac:dyDescent="0.2">
      <c r="A949" s="82"/>
      <c r="E949" s="87"/>
      <c r="K949" s="82"/>
    </row>
    <row r="950" spans="1:11" ht="14.25" customHeight="1" x14ac:dyDescent="0.2">
      <c r="A950" s="82"/>
      <c r="E950" s="87"/>
      <c r="K950" s="82"/>
    </row>
    <row r="951" spans="1:11" ht="14.25" customHeight="1" x14ac:dyDescent="0.2">
      <c r="A951" s="82"/>
      <c r="E951" s="87"/>
      <c r="K951" s="82"/>
    </row>
    <row r="952" spans="1:11" ht="14.25" customHeight="1" x14ac:dyDescent="0.2">
      <c r="A952" s="82"/>
      <c r="E952" s="87"/>
      <c r="K952" s="82"/>
    </row>
    <row r="953" spans="1:11" ht="14.25" customHeight="1" x14ac:dyDescent="0.2">
      <c r="A953" s="82"/>
      <c r="E953" s="87"/>
      <c r="K953" s="82"/>
    </row>
    <row r="954" spans="1:11" ht="14.25" customHeight="1" x14ac:dyDescent="0.2">
      <c r="A954" s="82"/>
      <c r="E954" s="87"/>
      <c r="K954" s="82"/>
    </row>
    <row r="955" spans="1:11" ht="14.25" customHeight="1" x14ac:dyDescent="0.2">
      <c r="A955" s="82"/>
      <c r="E955" s="87"/>
      <c r="K955" s="82"/>
    </row>
    <row r="956" spans="1:11" ht="14.25" customHeight="1" x14ac:dyDescent="0.2">
      <c r="A956" s="82"/>
      <c r="E956" s="87"/>
      <c r="K956" s="82"/>
    </row>
    <row r="957" spans="1:11" ht="14.25" customHeight="1" x14ac:dyDescent="0.2">
      <c r="A957" s="82"/>
      <c r="E957" s="87"/>
      <c r="K957" s="82"/>
    </row>
    <row r="958" spans="1:11" ht="14.25" customHeight="1" x14ac:dyDescent="0.2">
      <c r="A958" s="82"/>
      <c r="E958" s="87"/>
      <c r="K958" s="82"/>
    </row>
    <row r="959" spans="1:11" ht="14.25" customHeight="1" x14ac:dyDescent="0.2">
      <c r="A959" s="82"/>
      <c r="E959" s="87"/>
      <c r="K959" s="82"/>
    </row>
    <row r="960" spans="1:11" ht="14.25" customHeight="1" x14ac:dyDescent="0.2">
      <c r="A960" s="82"/>
      <c r="E960" s="87"/>
      <c r="K960" s="82"/>
    </row>
    <row r="961" spans="1:11" ht="14.25" customHeight="1" x14ac:dyDescent="0.2">
      <c r="A961" s="82"/>
      <c r="E961" s="87"/>
      <c r="K961" s="82"/>
    </row>
    <row r="962" spans="1:11" ht="14.25" customHeight="1" x14ac:dyDescent="0.2">
      <c r="A962" s="82"/>
      <c r="E962" s="87"/>
      <c r="K962" s="82"/>
    </row>
    <row r="963" spans="1:11" ht="14.25" customHeight="1" x14ac:dyDescent="0.2">
      <c r="A963" s="82"/>
      <c r="E963" s="87"/>
      <c r="K963" s="82"/>
    </row>
    <row r="964" spans="1:11" ht="14.25" customHeight="1" x14ac:dyDescent="0.2">
      <c r="A964" s="82"/>
      <c r="E964" s="87"/>
      <c r="K964" s="82"/>
    </row>
    <row r="965" spans="1:11" ht="14.25" customHeight="1" x14ac:dyDescent="0.2">
      <c r="A965" s="82"/>
      <c r="E965" s="87"/>
      <c r="K965" s="82"/>
    </row>
    <row r="966" spans="1:11" ht="14.25" customHeight="1" x14ac:dyDescent="0.2">
      <c r="A966" s="82"/>
      <c r="E966" s="87"/>
      <c r="K966" s="82"/>
    </row>
    <row r="967" spans="1:11" ht="14.25" customHeight="1" x14ac:dyDescent="0.2">
      <c r="A967" s="82"/>
      <c r="E967" s="87"/>
      <c r="K967" s="82"/>
    </row>
    <row r="968" spans="1:11" ht="14.25" customHeight="1" x14ac:dyDescent="0.2">
      <c r="A968" s="82"/>
      <c r="E968" s="87"/>
      <c r="K968" s="82"/>
    </row>
    <row r="969" spans="1:11" ht="14.25" customHeight="1" x14ac:dyDescent="0.2">
      <c r="A969" s="82"/>
      <c r="E969" s="87"/>
      <c r="K969" s="82"/>
    </row>
    <row r="970" spans="1:11" ht="14.25" customHeight="1" x14ac:dyDescent="0.2">
      <c r="A970" s="82"/>
      <c r="E970" s="87"/>
      <c r="K970" s="82"/>
    </row>
    <row r="971" spans="1:11" ht="14.25" customHeight="1" x14ac:dyDescent="0.2">
      <c r="A971" s="82"/>
      <c r="E971" s="87"/>
      <c r="K971" s="82"/>
    </row>
    <row r="972" spans="1:11" ht="14.25" customHeight="1" x14ac:dyDescent="0.2">
      <c r="A972" s="82"/>
      <c r="E972" s="87"/>
      <c r="K972" s="82"/>
    </row>
    <row r="973" spans="1:11" ht="14.25" customHeight="1" x14ac:dyDescent="0.2">
      <c r="A973" s="82"/>
      <c r="E973" s="87"/>
      <c r="K973" s="82"/>
    </row>
    <row r="974" spans="1:11" ht="14.25" customHeight="1" x14ac:dyDescent="0.2">
      <c r="A974" s="82"/>
      <c r="E974" s="87"/>
      <c r="K974" s="82"/>
    </row>
    <row r="975" spans="1:11" ht="14.25" customHeight="1" x14ac:dyDescent="0.2">
      <c r="A975" s="82"/>
      <c r="E975" s="87"/>
      <c r="K975" s="82"/>
    </row>
    <row r="976" spans="1:11" ht="14.25" customHeight="1" x14ac:dyDescent="0.2">
      <c r="A976" s="82"/>
      <c r="E976" s="87"/>
      <c r="K976" s="82"/>
    </row>
    <row r="977" spans="1:11" ht="14.25" customHeight="1" x14ac:dyDescent="0.2">
      <c r="A977" s="82"/>
      <c r="E977" s="87"/>
      <c r="K977" s="82"/>
    </row>
    <row r="978" spans="1:11" ht="14.25" customHeight="1" x14ac:dyDescent="0.2">
      <c r="A978" s="82"/>
      <c r="E978" s="87"/>
      <c r="K978" s="82"/>
    </row>
    <row r="979" spans="1:11" ht="14.25" customHeight="1" x14ac:dyDescent="0.2">
      <c r="A979" s="82"/>
      <c r="E979" s="87"/>
      <c r="K979" s="82"/>
    </row>
    <row r="980" spans="1:11" ht="14.25" customHeight="1" x14ac:dyDescent="0.2">
      <c r="A980" s="82"/>
      <c r="E980" s="87"/>
      <c r="K980" s="82"/>
    </row>
    <row r="981" spans="1:11" ht="14.25" customHeight="1" x14ac:dyDescent="0.2">
      <c r="A981" s="82"/>
      <c r="E981" s="87"/>
      <c r="K981" s="82"/>
    </row>
    <row r="982" spans="1:11" ht="14.25" customHeight="1" x14ac:dyDescent="0.2">
      <c r="A982" s="82"/>
      <c r="E982" s="87"/>
      <c r="K982" s="82"/>
    </row>
    <row r="983" spans="1:11" ht="15" customHeight="1" x14ac:dyDescent="0.2">
      <c r="E983" s="87"/>
      <c r="K983" s="82"/>
    </row>
    <row r="984" spans="1:11" ht="15" customHeight="1" x14ac:dyDescent="0.2">
      <c r="E984" s="87"/>
      <c r="K984" s="82"/>
    </row>
    <row r="985" spans="1:11" ht="15" customHeight="1" x14ac:dyDescent="0.2">
      <c r="E985" s="87"/>
      <c r="K985" s="82"/>
    </row>
    <row r="986" spans="1:11" ht="15" customHeight="1" x14ac:dyDescent="0.2">
      <c r="E986" s="87"/>
      <c r="K986" s="82"/>
    </row>
    <row r="987" spans="1:11" ht="15" customHeight="1" x14ac:dyDescent="0.2">
      <c r="E987" s="87"/>
      <c r="K987" s="82"/>
    </row>
    <row r="988" spans="1:11" ht="15" customHeight="1" x14ac:dyDescent="0.2">
      <c r="E988" s="87"/>
      <c r="K988" s="82"/>
    </row>
    <row r="989" spans="1:11" ht="15" customHeight="1" x14ac:dyDescent="0.2">
      <c r="E989" s="87"/>
      <c r="K989" s="82"/>
    </row>
    <row r="990" spans="1:11" ht="15" customHeight="1" x14ac:dyDescent="0.2">
      <c r="E990" s="87"/>
      <c r="K990" s="82"/>
    </row>
    <row r="991" spans="1:11" ht="15" customHeight="1" x14ac:dyDescent="0.2">
      <c r="E991" s="87"/>
      <c r="K991" s="82"/>
    </row>
    <row r="992" spans="1:11" ht="15" customHeight="1" x14ac:dyDescent="0.2">
      <c r="E992" s="87"/>
      <c r="K992" s="82"/>
    </row>
    <row r="993" spans="5:11" ht="15" customHeight="1" x14ac:dyDescent="0.2">
      <c r="E993" s="87"/>
      <c r="K993" s="82"/>
    </row>
    <row r="994" spans="5:11" ht="15" customHeight="1" x14ac:dyDescent="0.2">
      <c r="E994" s="87"/>
      <c r="K994" s="82"/>
    </row>
    <row r="995" spans="5:11" ht="15" customHeight="1" x14ac:dyDescent="0.2">
      <c r="E995" s="87"/>
      <c r="K995" s="82"/>
    </row>
    <row r="996" spans="5:11" ht="15" customHeight="1" x14ac:dyDescent="0.2">
      <c r="E996" s="87"/>
      <c r="K996" s="82"/>
    </row>
    <row r="997" spans="5:11" ht="15" customHeight="1" x14ac:dyDescent="0.2">
      <c r="E997" s="87"/>
      <c r="K997" s="82"/>
    </row>
    <row r="998" spans="5:11" ht="15" customHeight="1" x14ac:dyDescent="0.2">
      <c r="E998" s="87"/>
      <c r="K998" s="82"/>
    </row>
    <row r="999" spans="5:11" ht="15" customHeight="1" x14ac:dyDescent="0.2">
      <c r="E999" s="87"/>
      <c r="K999" s="82"/>
    </row>
    <row r="1000" spans="5:11" ht="15" customHeight="1" x14ac:dyDescent="0.2">
      <c r="E1000" s="87"/>
      <c r="K1000" s="82"/>
    </row>
    <row r="1001" spans="5:11" ht="15" customHeight="1" x14ac:dyDescent="0.2">
      <c r="E1001" s="87"/>
      <c r="K1001" s="82"/>
    </row>
  </sheetData>
  <autoFilter ref="A1:O415" xr:uid="{00000000-0009-0000-0000-000004000000}"/>
  <sortState xmlns:xlrd2="http://schemas.microsoft.com/office/spreadsheetml/2017/richdata2" ref="A33:L49">
    <sortCondition ref="E33:E49"/>
  </sortState>
  <conditionalFormatting sqref="B1:D1 B356:B982 D356:D982 B778:D982">
    <cfRule type="cellIs" dxfId="138" priority="1" operator="lessThan">
      <formula>0</formula>
    </cfRule>
  </conditionalFormatting>
  <dataValidations count="1">
    <dataValidation type="list" allowBlank="1" showErrorMessage="1" sqref="A530:A982" xr:uid="{00000000-0002-0000-0400-000001000000}">
      <formula1>#REF!</formula1>
    </dataValidation>
  </dataValidations>
  <pageMargins left="0.7" right="0.7" top="0.75" bottom="0.75" header="0" footer="0"/>
  <pageSetup orientation="landscape" r:id="rId1"/>
  <extLst>
    <ext xmlns:x14="http://schemas.microsoft.com/office/spreadsheetml/2009/9/main" uri="{CCE6A557-97BC-4b89-ADB6-D9C93CAAB3DF}">
      <x14:dataValidations xmlns:xm="http://schemas.microsoft.com/office/excel/2006/main" count="3">
        <x14:dataValidation type="list" allowBlank="1" showErrorMessage="1" xr:uid="{00000000-0002-0000-0400-000000000000}">
          <x14:formula1>
            <xm:f>Kostensoorts!$A$8:$A$266</xm:f>
          </x14:formula1>
          <xm:sqref>A1:A2</xm:sqref>
        </x14:dataValidation>
        <x14:dataValidation type="list" allowBlank="1" showErrorMessage="1" xr:uid="{00000000-0002-0000-0400-000002000000}">
          <x14:formula1>
            <xm:f>Kostensoorts!$A$3:$A$1039</xm:f>
          </x14:formula1>
          <xm:sqref>M3</xm:sqref>
        </x14:dataValidation>
        <x14:dataValidation type="list" allowBlank="1" showErrorMessage="1" xr:uid="{00000000-0002-0000-0400-000003000000}">
          <x14:formula1>
            <xm:f>Kostensoorts!$A$3:$A$306</xm:f>
          </x14:formula1>
          <xm:sqref>A356:A529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7D2D8"/>
  </sheetPr>
  <dimension ref="A1:AE1000"/>
  <sheetViews>
    <sheetView workbookViewId="0">
      <pane ySplit="1" topLeftCell="A2" activePane="bottomLeft" state="frozen"/>
      <selection pane="bottomLeft" activeCell="B3" sqref="B3"/>
    </sheetView>
  </sheetViews>
  <sheetFormatPr baseColWidth="10" defaultColWidth="14.5" defaultRowHeight="15" customHeight="1" x14ac:dyDescent="0.2"/>
  <cols>
    <col min="1" max="1" width="32.5" customWidth="1"/>
    <col min="2" max="2" width="14" customWidth="1"/>
    <col min="3" max="3" width="12.83203125" customWidth="1"/>
    <col min="4" max="4" width="8.6640625" customWidth="1"/>
    <col min="5" max="5" width="12.83203125" customWidth="1"/>
    <col min="6" max="6" width="29" customWidth="1"/>
    <col min="7" max="7" width="23.5" customWidth="1"/>
    <col min="8" max="8" width="10.5" customWidth="1"/>
    <col min="9" max="9" width="16.1640625" customWidth="1"/>
    <col min="10" max="10" width="247.5" hidden="1" customWidth="1"/>
    <col min="11" max="11" width="45.83203125" customWidth="1"/>
    <col min="12" max="31" width="10.83203125" customWidth="1"/>
  </cols>
  <sheetData>
    <row r="1" spans="1:12" ht="14.25" customHeight="1" x14ac:dyDescent="0.2">
      <c r="A1" s="75" t="s">
        <v>330</v>
      </c>
      <c r="B1" s="76" t="s">
        <v>331</v>
      </c>
      <c r="C1" s="80" t="s">
        <v>337</v>
      </c>
      <c r="D1" s="81"/>
      <c r="E1" s="77" t="s">
        <v>332</v>
      </c>
      <c r="F1" s="78" t="s">
        <v>333</v>
      </c>
      <c r="G1" s="76" t="s">
        <v>338</v>
      </c>
      <c r="H1" s="77" t="s">
        <v>341</v>
      </c>
      <c r="I1" s="76" t="s">
        <v>342</v>
      </c>
      <c r="J1" s="79" t="s">
        <v>334</v>
      </c>
      <c r="K1" s="80" t="s">
        <v>343</v>
      </c>
    </row>
    <row r="2" spans="1:12" ht="14.25" customHeight="1" x14ac:dyDescent="0.2">
      <c r="A2" s="82"/>
      <c r="B2" s="82"/>
      <c r="C2" s="82"/>
      <c r="D2" s="82"/>
      <c r="E2" s="82"/>
      <c r="F2" s="82"/>
      <c r="G2" s="82"/>
      <c r="H2" s="82"/>
      <c r="I2" s="82"/>
      <c r="J2" s="82"/>
      <c r="K2" s="82"/>
    </row>
    <row r="3" spans="1:12" ht="14.25" customHeight="1" x14ac:dyDescent="0.2">
      <c r="A3" s="82" t="s">
        <v>299</v>
      </c>
      <c r="B3" s="95">
        <v>9500</v>
      </c>
      <c r="C3" s="96">
        <v>16918.45</v>
      </c>
      <c r="D3" s="93"/>
      <c r="E3" s="84">
        <v>20241120</v>
      </c>
      <c r="F3" s="85" t="s">
        <v>345</v>
      </c>
      <c r="G3" s="85" t="s">
        <v>346</v>
      </c>
      <c r="H3" s="85" t="s">
        <v>347</v>
      </c>
      <c r="I3" s="85" t="s">
        <v>348</v>
      </c>
      <c r="J3" s="85" t="s">
        <v>349</v>
      </c>
      <c r="K3" s="85"/>
      <c r="L3" s="85"/>
    </row>
    <row r="4" spans="1:12" ht="14.25" customHeight="1" x14ac:dyDescent="0.2">
      <c r="A4" s="82"/>
      <c r="B4" s="97"/>
      <c r="C4" s="92"/>
      <c r="D4" s="93"/>
      <c r="E4" s="98"/>
      <c r="F4" s="85"/>
      <c r="G4" s="85"/>
      <c r="H4" s="85"/>
      <c r="I4" s="94"/>
      <c r="J4" s="85"/>
      <c r="K4" s="86"/>
    </row>
    <row r="5" spans="1:12" ht="14.25" customHeight="1" x14ac:dyDescent="0.2">
      <c r="A5" s="82"/>
      <c r="B5" s="97"/>
      <c r="C5" s="92"/>
      <c r="D5" s="96"/>
      <c r="E5" s="98"/>
      <c r="F5" s="85"/>
      <c r="G5" s="85"/>
      <c r="H5" s="85"/>
      <c r="I5" s="94"/>
      <c r="J5" s="85"/>
      <c r="K5" s="86"/>
    </row>
    <row r="6" spans="1:12" ht="14.25" customHeight="1" x14ac:dyDescent="0.2">
      <c r="A6" s="82"/>
      <c r="B6" s="83"/>
      <c r="C6" s="96"/>
      <c r="D6" s="93"/>
      <c r="E6" s="84"/>
      <c r="F6" s="85"/>
      <c r="G6" s="85"/>
      <c r="H6" s="85"/>
      <c r="I6" s="85"/>
      <c r="J6" s="85"/>
      <c r="K6" s="86"/>
    </row>
    <row r="7" spans="1:12" ht="14.25" customHeight="1" x14ac:dyDescent="0.2">
      <c r="A7" s="82"/>
      <c r="B7" s="83"/>
      <c r="C7" s="96"/>
      <c r="D7" s="93"/>
      <c r="E7" s="84"/>
      <c r="F7" s="85"/>
      <c r="G7" s="85"/>
      <c r="H7" s="85"/>
      <c r="I7" s="85"/>
      <c r="J7" s="85"/>
      <c r="K7" s="86"/>
    </row>
    <row r="8" spans="1:12" ht="14.25" customHeight="1" x14ac:dyDescent="0.2">
      <c r="A8" s="82"/>
      <c r="B8" s="83"/>
      <c r="C8" s="96"/>
      <c r="D8" s="93"/>
      <c r="E8" s="84"/>
      <c r="F8" s="85"/>
      <c r="G8" s="85"/>
      <c r="H8" s="85"/>
      <c r="I8" s="85"/>
      <c r="J8" s="85"/>
      <c r="K8" s="86"/>
    </row>
    <row r="9" spans="1:12" ht="14.25" customHeight="1" x14ac:dyDescent="0.2">
      <c r="A9" s="82"/>
      <c r="B9" s="99"/>
      <c r="D9" s="93"/>
      <c r="E9" s="87"/>
      <c r="I9" s="85"/>
      <c r="J9" s="85" t="s">
        <v>350</v>
      </c>
      <c r="K9" s="86"/>
    </row>
    <row r="10" spans="1:12" ht="14.25" customHeight="1" x14ac:dyDescent="0.2">
      <c r="A10" s="82"/>
      <c r="B10" s="83"/>
      <c r="C10" s="96"/>
      <c r="D10" s="93"/>
      <c r="E10" s="84"/>
      <c r="F10" s="85"/>
      <c r="G10" s="85"/>
      <c r="H10" s="85"/>
      <c r="I10" s="85"/>
      <c r="J10" s="85"/>
      <c r="K10" s="86"/>
    </row>
    <row r="11" spans="1:12" ht="14.25" customHeight="1" x14ac:dyDescent="0.2">
      <c r="A11" s="82"/>
      <c r="B11" s="83"/>
      <c r="C11" s="96"/>
      <c r="D11" s="93"/>
      <c r="E11" s="84"/>
      <c r="F11" s="85"/>
      <c r="G11" s="85"/>
      <c r="H11" s="85"/>
      <c r="I11" s="85"/>
      <c r="J11" s="85"/>
      <c r="K11" s="86"/>
    </row>
    <row r="12" spans="1:12" ht="14.25" customHeight="1" x14ac:dyDescent="0.2">
      <c r="A12" s="82"/>
      <c r="B12" s="83"/>
      <c r="C12" s="96"/>
      <c r="D12" s="93"/>
      <c r="E12" s="84"/>
      <c r="F12" s="85"/>
      <c r="G12" s="85"/>
      <c r="H12" s="85"/>
      <c r="I12" s="85"/>
      <c r="J12" s="85"/>
    </row>
    <row r="13" spans="1:12" ht="14.25" customHeight="1" x14ac:dyDescent="0.2">
      <c r="A13" s="82"/>
      <c r="B13" s="83"/>
      <c r="C13" s="96"/>
      <c r="D13" s="93"/>
      <c r="E13" s="84"/>
      <c r="F13" s="85"/>
      <c r="G13" s="85"/>
      <c r="H13" s="85"/>
      <c r="I13" s="85"/>
      <c r="J13" s="85"/>
      <c r="K13" s="86"/>
    </row>
    <row r="14" spans="1:12" ht="14.25" customHeight="1" x14ac:dyDescent="0.2">
      <c r="A14" s="82"/>
      <c r="B14" s="83"/>
      <c r="C14" s="96"/>
      <c r="D14" s="93"/>
      <c r="E14" s="84"/>
      <c r="F14" s="85"/>
      <c r="G14" s="85"/>
      <c r="H14" s="85"/>
      <c r="I14" s="85"/>
      <c r="J14" s="85"/>
      <c r="K14" s="86"/>
    </row>
    <row r="15" spans="1:12" ht="14.25" customHeight="1" x14ac:dyDescent="0.2">
      <c r="A15" s="82"/>
      <c r="B15" s="83"/>
      <c r="C15" s="96"/>
      <c r="D15" s="93"/>
      <c r="E15" s="84"/>
      <c r="F15" s="85"/>
      <c r="G15" s="85"/>
      <c r="H15" s="85"/>
      <c r="I15" s="85"/>
      <c r="J15" s="85"/>
      <c r="K15" s="86"/>
    </row>
    <row r="16" spans="1:12" ht="14.25" customHeight="1" x14ac:dyDescent="0.2">
      <c r="A16" s="82"/>
      <c r="B16" s="83"/>
      <c r="C16" s="96"/>
      <c r="D16" s="93"/>
      <c r="E16" s="84"/>
      <c r="F16" s="85"/>
      <c r="G16" s="85"/>
      <c r="H16" s="85"/>
      <c r="I16" s="85"/>
      <c r="J16" s="85"/>
    </row>
    <row r="17" spans="1:11" ht="14.25" customHeight="1" x14ac:dyDescent="0.2">
      <c r="A17" s="82"/>
      <c r="B17" s="83"/>
      <c r="C17" s="96"/>
      <c r="D17" s="93"/>
      <c r="E17" s="84"/>
      <c r="F17" s="85"/>
      <c r="G17" s="85"/>
      <c r="H17" s="85"/>
      <c r="I17" s="85"/>
      <c r="J17" s="85"/>
    </row>
    <row r="18" spans="1:11" ht="14.25" customHeight="1" x14ac:dyDescent="0.2">
      <c r="A18" s="82"/>
      <c r="B18" s="83"/>
      <c r="C18" s="96"/>
      <c r="D18" s="93"/>
      <c r="E18" s="84"/>
      <c r="F18" s="85"/>
      <c r="G18" s="85"/>
      <c r="H18" s="85"/>
      <c r="I18" s="85"/>
      <c r="J18" s="85"/>
      <c r="K18" s="86"/>
    </row>
    <row r="19" spans="1:11" ht="14.25" customHeight="1" x14ac:dyDescent="0.2">
      <c r="A19" s="82"/>
      <c r="B19" s="83"/>
      <c r="C19" s="96"/>
      <c r="D19" s="93"/>
      <c r="E19" s="84"/>
      <c r="F19" s="85"/>
      <c r="G19" s="85"/>
      <c r="H19" s="85"/>
      <c r="I19" s="85"/>
      <c r="J19" s="85"/>
    </row>
    <row r="20" spans="1:11" ht="14.25" customHeight="1" x14ac:dyDescent="0.2">
      <c r="A20" s="82"/>
      <c r="B20" s="83"/>
      <c r="C20" s="96"/>
      <c r="D20" s="93"/>
      <c r="E20" s="84"/>
      <c r="F20" s="85"/>
      <c r="G20" s="85"/>
      <c r="H20" s="85"/>
      <c r="I20" s="85"/>
      <c r="J20" s="85"/>
    </row>
    <row r="21" spans="1:11" ht="14.25" customHeight="1" x14ac:dyDescent="0.2">
      <c r="A21" s="82"/>
      <c r="B21" s="83"/>
      <c r="C21" s="96"/>
      <c r="D21" s="93"/>
      <c r="E21" s="84"/>
      <c r="F21" s="85"/>
      <c r="G21" s="85"/>
      <c r="H21" s="85"/>
      <c r="I21" s="85"/>
      <c r="J21" s="85"/>
      <c r="K21" s="86"/>
    </row>
    <row r="22" spans="1:11" ht="14.25" customHeight="1" x14ac:dyDescent="0.2">
      <c r="A22" s="82"/>
      <c r="B22" s="83"/>
      <c r="C22" s="96"/>
      <c r="D22" s="93"/>
      <c r="E22" s="84"/>
      <c r="F22" s="85"/>
      <c r="G22" s="85"/>
      <c r="H22" s="85"/>
      <c r="I22" s="85"/>
      <c r="J22" s="85"/>
    </row>
    <row r="23" spans="1:11" ht="14.25" customHeight="1" x14ac:dyDescent="0.2">
      <c r="A23" s="82"/>
      <c r="B23" s="83"/>
      <c r="C23" s="96"/>
      <c r="D23" s="93"/>
      <c r="E23" s="84"/>
      <c r="F23" s="85"/>
      <c r="G23" s="85"/>
      <c r="H23" s="85"/>
      <c r="I23" s="85"/>
      <c r="J23" s="85"/>
    </row>
    <row r="24" spans="1:11" ht="14.25" customHeight="1" x14ac:dyDescent="0.2">
      <c r="A24" s="82"/>
      <c r="B24" s="83"/>
      <c r="C24" s="96"/>
      <c r="D24" s="93"/>
      <c r="E24" s="84"/>
      <c r="F24" s="85"/>
      <c r="G24" s="85"/>
      <c r="H24" s="85"/>
      <c r="I24" s="85"/>
      <c r="J24" s="85"/>
    </row>
    <row r="25" spans="1:11" ht="14.25" customHeight="1" x14ac:dyDescent="0.2">
      <c r="A25" s="82"/>
      <c r="B25" s="83"/>
      <c r="C25" s="96"/>
      <c r="D25" s="93"/>
      <c r="E25" s="84"/>
      <c r="F25" s="85"/>
      <c r="G25" s="85"/>
      <c r="H25" s="85"/>
      <c r="I25" s="85"/>
      <c r="J25" s="85"/>
      <c r="K25" s="86"/>
    </row>
    <row r="26" spans="1:11" ht="14.25" customHeight="1" x14ac:dyDescent="0.2">
      <c r="A26" s="82"/>
      <c r="B26" s="83"/>
      <c r="C26" s="96"/>
      <c r="D26" s="93"/>
      <c r="E26" s="84"/>
      <c r="F26" s="85"/>
      <c r="G26" s="85"/>
      <c r="H26" s="85"/>
      <c r="I26" s="85"/>
      <c r="J26" s="85"/>
    </row>
    <row r="27" spans="1:11" ht="14.25" customHeight="1" x14ac:dyDescent="0.2">
      <c r="A27" s="82"/>
      <c r="B27" s="83"/>
      <c r="C27" s="96"/>
      <c r="D27" s="93"/>
      <c r="E27" s="84"/>
      <c r="F27" s="85"/>
      <c r="G27" s="85"/>
      <c r="H27" s="85"/>
      <c r="I27" s="85"/>
      <c r="J27" s="85"/>
    </row>
    <row r="28" spans="1:11" ht="14.25" customHeight="1" x14ac:dyDescent="0.2">
      <c r="A28" s="82"/>
      <c r="B28" s="83"/>
      <c r="C28" s="96"/>
      <c r="D28" s="93"/>
      <c r="E28" s="84"/>
      <c r="F28" s="85"/>
      <c r="G28" s="85"/>
      <c r="H28" s="85"/>
      <c r="I28" s="85"/>
      <c r="J28" s="85"/>
    </row>
    <row r="29" spans="1:11" ht="14.25" customHeight="1" x14ac:dyDescent="0.2">
      <c r="A29" s="82"/>
      <c r="B29" s="83"/>
      <c r="C29" s="96"/>
      <c r="D29" s="93"/>
      <c r="E29" s="84"/>
      <c r="F29" s="85"/>
      <c r="G29" s="85"/>
      <c r="H29" s="85"/>
      <c r="I29" s="85"/>
      <c r="J29" s="85"/>
    </row>
    <row r="30" spans="1:11" ht="14.25" customHeight="1" x14ac:dyDescent="0.2">
      <c r="A30" s="82"/>
      <c r="B30" s="83"/>
      <c r="C30" s="96"/>
      <c r="D30" s="93"/>
      <c r="E30" s="84"/>
      <c r="F30" s="85"/>
      <c r="G30" s="85"/>
      <c r="H30" s="85"/>
      <c r="I30" s="85"/>
      <c r="J30" s="85"/>
    </row>
    <row r="31" spans="1:11" ht="14.25" customHeight="1" x14ac:dyDescent="0.2">
      <c r="A31" s="82"/>
      <c r="B31" s="83"/>
      <c r="C31" s="96"/>
      <c r="D31" s="93"/>
      <c r="E31" s="84"/>
      <c r="F31" s="85"/>
      <c r="G31" s="85"/>
      <c r="H31" s="85"/>
      <c r="I31" s="85"/>
      <c r="J31" s="85"/>
    </row>
    <row r="32" spans="1:11" ht="14.25" customHeight="1" x14ac:dyDescent="0.2">
      <c r="A32" s="82"/>
      <c r="B32" s="83"/>
      <c r="C32" s="96"/>
      <c r="D32" s="93"/>
      <c r="E32" s="84"/>
      <c r="F32" s="85"/>
      <c r="G32" s="85"/>
      <c r="H32" s="85"/>
      <c r="I32" s="85"/>
      <c r="J32" s="85"/>
    </row>
    <row r="33" spans="1:11" ht="14.25" customHeight="1" x14ac:dyDescent="0.2">
      <c r="A33" s="82"/>
      <c r="B33" s="83"/>
      <c r="C33" s="96"/>
      <c r="D33" s="93"/>
      <c r="E33" s="84"/>
      <c r="F33" s="85"/>
      <c r="G33" s="85"/>
      <c r="H33" s="85"/>
      <c r="I33" s="85"/>
      <c r="J33" s="85"/>
    </row>
    <row r="34" spans="1:11" ht="14.25" customHeight="1" x14ac:dyDescent="0.2">
      <c r="A34" s="82"/>
      <c r="B34" s="83"/>
      <c r="C34" s="96"/>
      <c r="D34" s="93"/>
      <c r="E34" s="84"/>
      <c r="F34" s="85"/>
      <c r="G34" s="85"/>
      <c r="H34" s="85"/>
      <c r="I34" s="85"/>
      <c r="J34" s="85"/>
    </row>
    <row r="35" spans="1:11" ht="14.25" customHeight="1" x14ac:dyDescent="0.2">
      <c r="A35" s="82"/>
      <c r="B35" s="83"/>
      <c r="C35" s="96"/>
      <c r="D35" s="93"/>
      <c r="E35" s="84"/>
      <c r="F35" s="85"/>
      <c r="G35" s="85"/>
      <c r="H35" s="85"/>
      <c r="I35" s="85"/>
      <c r="J35" s="85"/>
    </row>
    <row r="36" spans="1:11" ht="14.25" customHeight="1" x14ac:dyDescent="0.2">
      <c r="A36" s="82"/>
      <c r="B36" s="83"/>
      <c r="C36" s="96"/>
      <c r="D36" s="93"/>
      <c r="E36" s="84"/>
      <c r="F36" s="85"/>
      <c r="G36" s="85"/>
      <c r="H36" s="85"/>
      <c r="I36" s="85"/>
      <c r="J36" s="85"/>
    </row>
    <row r="37" spans="1:11" ht="14.25" customHeight="1" x14ac:dyDescent="0.2">
      <c r="A37" s="82"/>
      <c r="B37" s="83"/>
      <c r="C37" s="96"/>
      <c r="D37" s="93"/>
      <c r="E37" s="84"/>
      <c r="F37" s="85"/>
      <c r="G37" s="85"/>
      <c r="H37" s="85"/>
      <c r="I37" s="85"/>
      <c r="J37" s="85"/>
      <c r="K37" s="86"/>
    </row>
    <row r="38" spans="1:11" ht="14.25" customHeight="1" x14ac:dyDescent="0.2">
      <c r="A38" s="82"/>
      <c r="B38" s="83"/>
      <c r="C38" s="96"/>
      <c r="D38" s="93"/>
      <c r="E38" s="84"/>
      <c r="F38" s="85"/>
      <c r="G38" s="85"/>
      <c r="H38" s="85"/>
      <c r="I38" s="85"/>
      <c r="J38" s="85"/>
      <c r="K38" s="86"/>
    </row>
    <row r="39" spans="1:11" ht="14.25" customHeight="1" x14ac:dyDescent="0.2">
      <c r="A39" s="82"/>
      <c r="B39" s="83"/>
      <c r="C39" s="96"/>
      <c r="D39" s="93"/>
      <c r="E39" s="84"/>
      <c r="F39" s="85"/>
      <c r="G39" s="85"/>
      <c r="H39" s="85"/>
      <c r="I39" s="85"/>
      <c r="J39" s="85"/>
    </row>
    <row r="40" spans="1:11" ht="14.25" customHeight="1" x14ac:dyDescent="0.2">
      <c r="A40" s="82"/>
      <c r="B40" s="83"/>
      <c r="C40" s="96"/>
      <c r="D40" s="93"/>
      <c r="E40" s="84"/>
      <c r="F40" s="85"/>
      <c r="G40" s="85"/>
      <c r="H40" s="85"/>
      <c r="I40" s="85"/>
      <c r="J40" s="85"/>
      <c r="K40" s="86"/>
    </row>
    <row r="41" spans="1:11" ht="14.25" customHeight="1" x14ac:dyDescent="0.2">
      <c r="A41" s="82"/>
      <c r="B41" s="83"/>
      <c r="C41" s="96"/>
      <c r="D41" s="93"/>
      <c r="E41" s="84"/>
      <c r="F41" s="85"/>
      <c r="G41" s="85"/>
      <c r="H41" s="85"/>
      <c r="I41" s="85"/>
      <c r="J41" s="85"/>
    </row>
    <row r="42" spans="1:11" ht="14.25" customHeight="1" x14ac:dyDescent="0.2">
      <c r="A42" s="82"/>
      <c r="B42" s="83"/>
      <c r="C42" s="96"/>
      <c r="D42" s="93"/>
      <c r="E42" s="84"/>
      <c r="F42" s="85"/>
      <c r="G42" s="85"/>
      <c r="H42" s="85"/>
      <c r="I42" s="85"/>
      <c r="J42" s="85"/>
      <c r="K42" s="86"/>
    </row>
    <row r="43" spans="1:11" ht="14.25" customHeight="1" x14ac:dyDescent="0.2">
      <c r="A43" s="82"/>
      <c r="B43" s="83"/>
      <c r="C43" s="96"/>
      <c r="D43" s="93"/>
      <c r="E43" s="84"/>
      <c r="F43" s="85"/>
      <c r="G43" s="85"/>
      <c r="H43" s="85"/>
      <c r="I43" s="85"/>
      <c r="J43" s="85"/>
      <c r="K43" s="86"/>
    </row>
    <row r="44" spans="1:11" ht="14.25" customHeight="1" x14ac:dyDescent="0.2">
      <c r="A44" s="82"/>
      <c r="B44" s="83"/>
      <c r="C44" s="96"/>
      <c r="D44" s="93"/>
      <c r="E44" s="84"/>
      <c r="F44" s="85"/>
      <c r="G44" s="85"/>
      <c r="H44" s="85"/>
      <c r="I44" s="85"/>
      <c r="J44" s="85"/>
      <c r="K44" s="86"/>
    </row>
    <row r="45" spans="1:11" ht="14.25" customHeight="1" x14ac:dyDescent="0.2">
      <c r="A45" s="82"/>
      <c r="B45" s="83"/>
      <c r="C45" s="96"/>
      <c r="D45" s="93"/>
      <c r="E45" s="84"/>
      <c r="F45" s="85"/>
      <c r="G45" s="85"/>
      <c r="H45" s="85"/>
      <c r="I45" s="85"/>
      <c r="J45" s="85"/>
      <c r="K45" s="86"/>
    </row>
    <row r="46" spans="1:11" ht="14.25" customHeight="1" x14ac:dyDescent="0.2">
      <c r="A46" s="82"/>
      <c r="B46" s="83"/>
      <c r="C46" s="96"/>
      <c r="D46" s="93"/>
      <c r="E46" s="84"/>
      <c r="F46" s="85"/>
      <c r="G46" s="85"/>
      <c r="H46" s="85"/>
      <c r="I46" s="85"/>
      <c r="J46" s="85"/>
    </row>
    <row r="47" spans="1:11" ht="14.25" customHeight="1" x14ac:dyDescent="0.2">
      <c r="A47" s="82"/>
      <c r="B47" s="83"/>
      <c r="C47" s="96"/>
      <c r="D47" s="93"/>
      <c r="E47" s="84"/>
      <c r="F47" s="85"/>
      <c r="G47" s="85"/>
      <c r="H47" s="85"/>
      <c r="I47" s="85"/>
      <c r="J47" s="85"/>
    </row>
    <row r="48" spans="1:11" ht="14.25" customHeight="1" x14ac:dyDescent="0.2">
      <c r="A48" s="82"/>
      <c r="B48" s="83"/>
      <c r="C48" s="96"/>
      <c r="D48" s="93"/>
      <c r="E48" s="84"/>
      <c r="F48" s="85"/>
      <c r="G48" s="85"/>
      <c r="H48" s="85"/>
      <c r="I48" s="85"/>
      <c r="J48" s="85"/>
    </row>
    <row r="49" spans="1:11" ht="14.25" customHeight="1" x14ac:dyDescent="0.2">
      <c r="A49" s="82"/>
      <c r="B49" s="83"/>
      <c r="C49" s="96"/>
      <c r="D49" s="93"/>
      <c r="E49" s="84"/>
      <c r="F49" s="85"/>
      <c r="G49" s="85"/>
      <c r="H49" s="85"/>
      <c r="I49" s="85"/>
      <c r="J49" s="85"/>
      <c r="K49" s="86"/>
    </row>
    <row r="50" spans="1:11" ht="14.25" customHeight="1" x14ac:dyDescent="0.2">
      <c r="A50" s="82"/>
      <c r="B50" s="83"/>
      <c r="C50" s="96"/>
      <c r="D50" s="93"/>
      <c r="E50" s="84"/>
      <c r="F50" s="85"/>
      <c r="G50" s="85"/>
      <c r="H50" s="85"/>
      <c r="I50" s="85"/>
      <c r="J50" s="85"/>
      <c r="K50" s="86"/>
    </row>
    <row r="51" spans="1:11" ht="14.25" customHeight="1" x14ac:dyDescent="0.2">
      <c r="A51" s="82"/>
      <c r="B51" s="83"/>
      <c r="C51" s="96"/>
      <c r="D51" s="93"/>
      <c r="E51" s="84"/>
      <c r="F51" s="85"/>
      <c r="G51" s="85"/>
      <c r="H51" s="85"/>
      <c r="I51" s="85"/>
      <c r="J51" s="85"/>
    </row>
    <row r="52" spans="1:11" ht="14.25" customHeight="1" x14ac:dyDescent="0.2">
      <c r="A52" s="82"/>
      <c r="B52" s="83"/>
      <c r="C52" s="96"/>
      <c r="D52" s="93"/>
      <c r="E52" s="84"/>
      <c r="F52" s="85"/>
      <c r="G52" s="85"/>
      <c r="H52" s="85"/>
      <c r="I52" s="85"/>
      <c r="J52" s="85"/>
    </row>
    <row r="53" spans="1:11" ht="14.25" customHeight="1" x14ac:dyDescent="0.2">
      <c r="A53" s="82"/>
      <c r="B53" s="83"/>
      <c r="C53" s="96"/>
      <c r="D53" s="93"/>
      <c r="E53" s="84"/>
      <c r="F53" s="85"/>
      <c r="G53" s="85"/>
      <c r="H53" s="85"/>
      <c r="I53" s="85"/>
      <c r="J53" s="85"/>
    </row>
    <row r="54" spans="1:11" ht="14.25" customHeight="1" x14ac:dyDescent="0.2">
      <c r="A54" s="82"/>
      <c r="B54" s="83"/>
      <c r="C54" s="96"/>
      <c r="D54" s="93"/>
      <c r="E54" s="84"/>
      <c r="F54" s="85"/>
      <c r="G54" s="85"/>
      <c r="H54" s="85"/>
      <c r="I54" s="85"/>
      <c r="J54" s="85"/>
    </row>
    <row r="55" spans="1:11" ht="14.25" customHeight="1" x14ac:dyDescent="0.2">
      <c r="A55" s="82"/>
      <c r="B55" s="83"/>
      <c r="C55" s="96"/>
      <c r="D55" s="93"/>
      <c r="E55" s="84"/>
      <c r="F55" s="85"/>
      <c r="G55" s="85"/>
      <c r="H55" s="85"/>
      <c r="I55" s="85"/>
      <c r="J55" s="85"/>
    </row>
    <row r="56" spans="1:11" ht="14.25" customHeight="1" x14ac:dyDescent="0.2">
      <c r="A56" s="82"/>
      <c r="B56" s="83"/>
      <c r="C56" s="96"/>
      <c r="D56" s="93"/>
      <c r="E56" s="84"/>
      <c r="F56" s="85"/>
      <c r="G56" s="85"/>
      <c r="H56" s="85"/>
      <c r="I56" s="85"/>
      <c r="J56" s="85"/>
    </row>
    <row r="57" spans="1:11" ht="14.25" customHeight="1" x14ac:dyDescent="0.2">
      <c r="A57" s="82"/>
      <c r="B57" s="83"/>
      <c r="C57" s="96"/>
      <c r="D57" s="93"/>
      <c r="E57" s="84"/>
      <c r="F57" s="85"/>
      <c r="G57" s="85"/>
      <c r="H57" s="85"/>
      <c r="I57" s="85"/>
      <c r="J57" s="85"/>
    </row>
    <row r="58" spans="1:11" ht="14.25" customHeight="1" x14ac:dyDescent="0.2">
      <c r="A58" s="82"/>
      <c r="B58" s="83"/>
      <c r="C58" s="96"/>
      <c r="D58" s="93"/>
      <c r="E58" s="84"/>
      <c r="F58" s="85"/>
      <c r="G58" s="85"/>
      <c r="H58" s="85"/>
      <c r="I58" s="85"/>
      <c r="J58" s="85"/>
      <c r="K58" s="86"/>
    </row>
    <row r="59" spans="1:11" ht="14.25" customHeight="1" x14ac:dyDescent="0.2">
      <c r="A59" s="82"/>
      <c r="B59" s="83"/>
      <c r="C59" s="96"/>
      <c r="D59" s="93"/>
      <c r="E59" s="84"/>
      <c r="F59" s="85"/>
      <c r="G59" s="85"/>
      <c r="H59" s="85"/>
      <c r="I59" s="85"/>
      <c r="J59" s="85"/>
      <c r="K59" s="86"/>
    </row>
    <row r="60" spans="1:11" ht="14.25" customHeight="1" x14ac:dyDescent="0.2">
      <c r="A60" s="82"/>
      <c r="B60" s="83"/>
      <c r="C60" s="96"/>
      <c r="D60" s="93"/>
      <c r="E60" s="84"/>
      <c r="F60" s="85"/>
      <c r="G60" s="85"/>
      <c r="H60" s="85"/>
      <c r="I60" s="85"/>
      <c r="J60" s="85"/>
    </row>
    <row r="61" spans="1:11" ht="14.25" customHeight="1" x14ac:dyDescent="0.2">
      <c r="A61" s="82"/>
      <c r="B61" s="83"/>
      <c r="C61" s="96"/>
      <c r="D61" s="93"/>
      <c r="E61" s="84"/>
      <c r="F61" s="85"/>
      <c r="G61" s="85"/>
      <c r="H61" s="85"/>
      <c r="I61" s="85"/>
      <c r="J61" s="85"/>
    </row>
    <row r="62" spans="1:11" ht="14.25" customHeight="1" x14ac:dyDescent="0.2">
      <c r="A62" s="82"/>
      <c r="B62" s="83"/>
      <c r="C62" s="96"/>
      <c r="D62" s="93"/>
      <c r="E62" s="84"/>
      <c r="F62" s="85"/>
      <c r="G62" s="85"/>
      <c r="H62" s="85"/>
      <c r="I62" s="85"/>
      <c r="J62" s="85"/>
    </row>
    <row r="63" spans="1:11" ht="14.25" customHeight="1" x14ac:dyDescent="0.2">
      <c r="A63" s="82"/>
      <c r="B63" s="83"/>
      <c r="C63" s="96"/>
      <c r="D63" s="93"/>
      <c r="E63" s="84"/>
      <c r="F63" s="85"/>
      <c r="G63" s="85"/>
      <c r="H63" s="85"/>
      <c r="I63" s="85"/>
      <c r="J63" s="85"/>
      <c r="K63" s="86"/>
    </row>
    <row r="64" spans="1:11" ht="14.25" customHeight="1" x14ac:dyDescent="0.2">
      <c r="A64" s="82"/>
      <c r="B64" s="83"/>
      <c r="C64" s="96"/>
      <c r="D64" s="93"/>
      <c r="E64" s="84"/>
      <c r="F64" s="85"/>
      <c r="G64" s="85"/>
      <c r="H64" s="85"/>
      <c r="I64" s="85"/>
      <c r="J64" s="85"/>
    </row>
    <row r="65" spans="1:11" ht="14.25" customHeight="1" x14ac:dyDescent="0.2">
      <c r="A65" s="82"/>
      <c r="B65" s="83"/>
      <c r="C65" s="96"/>
      <c r="D65" s="93"/>
      <c r="E65" s="84"/>
      <c r="F65" s="85"/>
      <c r="G65" s="85"/>
      <c r="H65" s="85"/>
      <c r="I65" s="85"/>
      <c r="J65" s="85"/>
    </row>
    <row r="66" spans="1:11" ht="14.25" customHeight="1" x14ac:dyDescent="0.2">
      <c r="A66" s="82"/>
      <c r="B66" s="83"/>
      <c r="C66" s="96"/>
      <c r="D66" s="93"/>
      <c r="E66" s="84"/>
      <c r="F66" s="85"/>
      <c r="G66" s="85"/>
      <c r="H66" s="85"/>
      <c r="I66" s="85"/>
      <c r="J66" s="85"/>
    </row>
    <row r="67" spans="1:11" ht="14.25" customHeight="1" x14ac:dyDescent="0.2">
      <c r="A67" s="82"/>
      <c r="B67" s="83"/>
      <c r="C67" s="96"/>
      <c r="D67" s="93"/>
      <c r="E67" s="84"/>
      <c r="F67" s="85"/>
      <c r="G67" s="85"/>
      <c r="H67" s="85"/>
      <c r="I67" s="85"/>
      <c r="J67" s="85"/>
      <c r="K67" s="86"/>
    </row>
    <row r="68" spans="1:11" ht="14.25" customHeight="1" x14ac:dyDescent="0.2">
      <c r="A68" s="82"/>
      <c r="B68" s="83"/>
      <c r="C68" s="96"/>
      <c r="D68" s="93"/>
      <c r="E68" s="84"/>
      <c r="F68" s="85"/>
      <c r="G68" s="85"/>
      <c r="H68" s="85"/>
      <c r="I68" s="85"/>
      <c r="J68" s="85"/>
      <c r="K68" s="86"/>
    </row>
    <row r="69" spans="1:11" ht="14.25" customHeight="1" x14ac:dyDescent="0.2">
      <c r="A69" s="82"/>
      <c r="B69" s="83"/>
      <c r="C69" s="96"/>
      <c r="D69" s="93"/>
      <c r="E69" s="84"/>
      <c r="F69" s="85"/>
      <c r="G69" s="85"/>
      <c r="H69" s="85"/>
      <c r="I69" s="85"/>
      <c r="J69" s="85"/>
      <c r="K69" s="86"/>
    </row>
    <row r="70" spans="1:11" ht="14.25" customHeight="1" x14ac:dyDescent="0.2">
      <c r="A70" s="82"/>
      <c r="B70" s="83"/>
      <c r="C70" s="96"/>
      <c r="D70" s="93"/>
      <c r="E70" s="84"/>
      <c r="F70" s="85"/>
      <c r="G70" s="85"/>
      <c r="H70" s="85"/>
      <c r="I70" s="85"/>
      <c r="J70" s="85"/>
      <c r="K70" s="86"/>
    </row>
    <row r="71" spans="1:11" ht="14.25" customHeight="1" x14ac:dyDescent="0.2">
      <c r="A71" s="82"/>
      <c r="B71" s="83"/>
      <c r="C71" s="96"/>
      <c r="D71" s="93"/>
      <c r="E71" s="84"/>
      <c r="F71" s="85"/>
      <c r="G71" s="85"/>
      <c r="H71" s="85"/>
      <c r="I71" s="85"/>
      <c r="J71" s="85"/>
      <c r="K71" s="86"/>
    </row>
    <row r="72" spans="1:11" ht="14.25" customHeight="1" x14ac:dyDescent="0.2">
      <c r="A72" s="82"/>
      <c r="B72" s="83"/>
      <c r="C72" s="96"/>
      <c r="D72" s="93"/>
      <c r="E72" s="84"/>
      <c r="F72" s="85"/>
      <c r="G72" s="85"/>
      <c r="H72" s="85"/>
      <c r="I72" s="85"/>
      <c r="J72" s="85"/>
      <c r="K72" s="86"/>
    </row>
    <row r="73" spans="1:11" ht="14.25" customHeight="1" x14ac:dyDescent="0.2">
      <c r="A73" s="82"/>
      <c r="B73" s="83"/>
      <c r="C73" s="96"/>
      <c r="D73" s="93"/>
      <c r="E73" s="84"/>
      <c r="F73" s="85"/>
      <c r="G73" s="85"/>
      <c r="H73" s="85"/>
      <c r="I73" s="85"/>
      <c r="J73" s="85"/>
      <c r="K73" s="86"/>
    </row>
    <row r="74" spans="1:11" ht="14.25" customHeight="1" x14ac:dyDescent="0.2">
      <c r="A74" s="82"/>
      <c r="B74" s="83"/>
      <c r="C74" s="96"/>
      <c r="D74" s="93"/>
      <c r="E74" s="84"/>
      <c r="F74" s="85"/>
      <c r="G74" s="85"/>
      <c r="H74" s="85"/>
      <c r="I74" s="85"/>
      <c r="J74" s="85"/>
      <c r="K74" s="86"/>
    </row>
    <row r="75" spans="1:11" ht="14.25" customHeight="1" x14ac:dyDescent="0.2">
      <c r="A75" s="82"/>
      <c r="B75" s="83"/>
      <c r="C75" s="96"/>
      <c r="D75" s="93"/>
      <c r="E75" s="84"/>
      <c r="F75" s="85"/>
      <c r="G75" s="85"/>
      <c r="H75" s="85"/>
      <c r="I75" s="85"/>
      <c r="J75" s="85"/>
      <c r="K75" s="86"/>
    </row>
    <row r="76" spans="1:11" ht="14.25" customHeight="1" x14ac:dyDescent="0.2">
      <c r="A76" s="82"/>
      <c r="B76" s="83"/>
      <c r="C76" s="96"/>
      <c r="D76" s="93"/>
      <c r="E76" s="84"/>
      <c r="F76" s="85"/>
      <c r="G76" s="85"/>
      <c r="H76" s="85"/>
      <c r="I76" s="85"/>
      <c r="J76" s="85"/>
      <c r="K76" s="86"/>
    </row>
    <row r="77" spans="1:11" ht="14.25" customHeight="1" x14ac:dyDescent="0.2">
      <c r="A77" s="82"/>
      <c r="B77" s="83"/>
      <c r="C77" s="96"/>
      <c r="D77" s="93"/>
      <c r="E77" s="84"/>
      <c r="F77" s="85"/>
      <c r="G77" s="85"/>
      <c r="H77" s="85"/>
      <c r="I77" s="85"/>
      <c r="J77" s="85"/>
      <c r="K77" s="86"/>
    </row>
    <row r="78" spans="1:11" ht="14.25" customHeight="1" x14ac:dyDescent="0.2">
      <c r="A78" s="82"/>
      <c r="B78" s="83"/>
      <c r="C78" s="96"/>
      <c r="D78" s="93"/>
      <c r="E78" s="84"/>
      <c r="F78" s="85"/>
      <c r="G78" s="85"/>
      <c r="H78" s="85"/>
      <c r="I78" s="85"/>
      <c r="J78" s="85"/>
    </row>
    <row r="79" spans="1:11" ht="14.25" customHeight="1" x14ac:dyDescent="0.2">
      <c r="A79" s="82"/>
      <c r="B79" s="83"/>
      <c r="C79" s="96"/>
      <c r="D79" s="93"/>
      <c r="E79" s="84"/>
      <c r="F79" s="85"/>
      <c r="G79" s="85"/>
      <c r="H79" s="85"/>
      <c r="I79" s="85"/>
      <c r="J79" s="85"/>
    </row>
    <row r="80" spans="1:11" ht="14.25" customHeight="1" x14ac:dyDescent="0.2">
      <c r="A80" s="82"/>
      <c r="B80" s="83"/>
      <c r="C80" s="96"/>
      <c r="D80" s="93"/>
      <c r="E80" s="84"/>
      <c r="F80" s="85"/>
      <c r="G80" s="85"/>
      <c r="H80" s="85"/>
      <c r="I80" s="85"/>
      <c r="J80" s="85"/>
    </row>
    <row r="81" spans="1:11" ht="14.25" customHeight="1" x14ac:dyDescent="0.2">
      <c r="A81" s="82"/>
      <c r="B81" s="83"/>
      <c r="C81" s="96"/>
      <c r="D81" s="93"/>
      <c r="E81" s="84"/>
      <c r="F81" s="85"/>
      <c r="G81" s="85"/>
      <c r="H81" s="85"/>
      <c r="I81" s="85"/>
      <c r="J81" s="85"/>
    </row>
    <row r="82" spans="1:11" ht="14.25" customHeight="1" x14ac:dyDescent="0.2">
      <c r="A82" s="82"/>
      <c r="B82" s="83"/>
      <c r="C82" s="96"/>
      <c r="D82" s="93"/>
      <c r="E82" s="84"/>
      <c r="F82" s="85"/>
      <c r="G82" s="85"/>
      <c r="H82" s="85"/>
      <c r="I82" s="85"/>
      <c r="J82" s="85"/>
      <c r="K82" s="86"/>
    </row>
    <row r="83" spans="1:11" ht="14.25" customHeight="1" x14ac:dyDescent="0.2">
      <c r="A83" s="82"/>
      <c r="B83" s="83"/>
      <c r="C83" s="96"/>
      <c r="D83" s="93"/>
      <c r="E83" s="84"/>
      <c r="F83" s="85"/>
      <c r="G83" s="85"/>
      <c r="H83" s="85"/>
      <c r="I83" s="85"/>
      <c r="J83" s="85"/>
      <c r="K83" s="86"/>
    </row>
    <row r="84" spans="1:11" ht="14.25" customHeight="1" x14ac:dyDescent="0.2">
      <c r="A84" s="82"/>
      <c r="B84" s="83"/>
      <c r="C84" s="96"/>
      <c r="D84" s="93"/>
      <c r="E84" s="84"/>
      <c r="F84" s="85"/>
      <c r="G84" s="85"/>
      <c r="H84" s="85"/>
      <c r="I84" s="85"/>
      <c r="J84" s="85"/>
      <c r="K84" s="86"/>
    </row>
    <row r="85" spans="1:11" ht="14.25" customHeight="1" x14ac:dyDescent="0.2">
      <c r="A85" s="82"/>
      <c r="B85" s="83"/>
      <c r="C85" s="96"/>
      <c r="D85" s="93"/>
      <c r="E85" s="84"/>
      <c r="F85" s="85"/>
      <c r="G85" s="85"/>
      <c r="H85" s="85"/>
      <c r="I85" s="85"/>
      <c r="J85" s="85"/>
    </row>
    <row r="86" spans="1:11" ht="14.25" customHeight="1" x14ac:dyDescent="0.2">
      <c r="A86" s="82"/>
      <c r="B86" s="83"/>
      <c r="C86" s="96"/>
      <c r="D86" s="93"/>
      <c r="E86" s="84"/>
      <c r="F86" s="85"/>
      <c r="G86" s="85"/>
      <c r="H86" s="85"/>
      <c r="I86" s="85"/>
      <c r="J86" s="85"/>
    </row>
    <row r="87" spans="1:11" ht="14.25" customHeight="1" x14ac:dyDescent="0.2">
      <c r="A87" s="82"/>
      <c r="B87" s="83"/>
      <c r="C87" s="96"/>
      <c r="D87" s="93"/>
      <c r="E87" s="84"/>
      <c r="F87" s="85"/>
      <c r="G87" s="85"/>
      <c r="H87" s="85"/>
      <c r="I87" s="85"/>
      <c r="J87" s="85"/>
    </row>
    <row r="88" spans="1:11" ht="14.25" customHeight="1" x14ac:dyDescent="0.2">
      <c r="A88" s="82"/>
      <c r="B88" s="83"/>
      <c r="C88" s="96"/>
      <c r="D88" s="93"/>
      <c r="E88" s="84"/>
      <c r="F88" s="85"/>
      <c r="G88" s="85"/>
      <c r="H88" s="85"/>
      <c r="I88" s="85"/>
      <c r="J88" s="85"/>
    </row>
    <row r="89" spans="1:11" ht="14.25" customHeight="1" x14ac:dyDescent="0.2">
      <c r="A89" s="82"/>
      <c r="B89" s="83"/>
      <c r="C89" s="96"/>
      <c r="D89" s="93"/>
      <c r="E89" s="84"/>
      <c r="F89" s="85"/>
      <c r="G89" s="85"/>
      <c r="H89" s="85"/>
      <c r="I89" s="85"/>
      <c r="J89" s="85"/>
    </row>
    <row r="90" spans="1:11" ht="14.25" customHeight="1" x14ac:dyDescent="0.2">
      <c r="A90" s="82"/>
      <c r="B90" s="83"/>
      <c r="C90" s="96"/>
      <c r="D90" s="93"/>
      <c r="E90" s="84"/>
      <c r="F90" s="85"/>
      <c r="G90" s="85"/>
      <c r="H90" s="85"/>
      <c r="I90" s="85"/>
      <c r="J90" s="85"/>
    </row>
    <row r="91" spans="1:11" ht="14.25" customHeight="1" x14ac:dyDescent="0.2">
      <c r="A91" s="82"/>
      <c r="B91" s="83"/>
      <c r="C91" s="96"/>
      <c r="D91" s="93"/>
      <c r="E91" s="84"/>
      <c r="F91" s="85"/>
      <c r="G91" s="85"/>
      <c r="H91" s="85"/>
      <c r="I91" s="85"/>
      <c r="J91" s="85"/>
    </row>
    <row r="92" spans="1:11" ht="14.25" customHeight="1" x14ac:dyDescent="0.2">
      <c r="A92" s="82"/>
      <c r="B92" s="83"/>
      <c r="C92" s="96"/>
      <c r="D92" s="93"/>
      <c r="E92" s="84"/>
      <c r="F92" s="85"/>
      <c r="G92" s="85"/>
      <c r="H92" s="85"/>
      <c r="I92" s="85"/>
      <c r="J92" s="85"/>
      <c r="K92" s="86"/>
    </row>
    <row r="93" spans="1:11" ht="14.25" customHeight="1" x14ac:dyDescent="0.2">
      <c r="A93" s="82"/>
      <c r="B93" s="83"/>
      <c r="C93" s="96"/>
      <c r="D93" s="93"/>
      <c r="E93" s="84"/>
      <c r="F93" s="85"/>
      <c r="G93" s="85"/>
      <c r="H93" s="85"/>
      <c r="I93" s="85"/>
      <c r="J93" s="85"/>
      <c r="K93" s="86"/>
    </row>
    <row r="94" spans="1:11" ht="14.25" customHeight="1" x14ac:dyDescent="0.2">
      <c r="A94" s="82"/>
      <c r="B94" s="83"/>
      <c r="C94" s="96"/>
      <c r="D94" s="93"/>
      <c r="E94" s="84"/>
      <c r="F94" s="85"/>
      <c r="G94" s="85"/>
      <c r="H94" s="85"/>
      <c r="I94" s="85"/>
      <c r="J94" s="85"/>
      <c r="K94" s="86"/>
    </row>
    <row r="95" spans="1:11" ht="14.25" customHeight="1" x14ac:dyDescent="0.2">
      <c r="A95" s="82"/>
      <c r="B95" s="83"/>
      <c r="C95" s="96"/>
      <c r="D95" s="93"/>
      <c r="E95" s="84"/>
      <c r="F95" s="85"/>
      <c r="G95" s="85"/>
      <c r="H95" s="85"/>
      <c r="I95" s="85"/>
      <c r="J95" s="85"/>
      <c r="K95" s="86"/>
    </row>
    <row r="96" spans="1:11" ht="14.25" customHeight="1" x14ac:dyDescent="0.2">
      <c r="A96" s="82"/>
      <c r="B96" s="83"/>
      <c r="C96" s="96"/>
      <c r="D96" s="93"/>
      <c r="E96" s="84"/>
      <c r="F96" s="85"/>
      <c r="G96" s="85"/>
      <c r="H96" s="85"/>
      <c r="I96" s="85"/>
      <c r="J96" s="85"/>
      <c r="K96" s="86"/>
    </row>
    <row r="97" spans="1:11" ht="14.25" customHeight="1" x14ac:dyDescent="0.2">
      <c r="A97" s="82"/>
      <c r="B97" s="83"/>
      <c r="C97" s="96"/>
      <c r="D97" s="93"/>
      <c r="E97" s="84"/>
      <c r="F97" s="85"/>
      <c r="G97" s="85"/>
      <c r="H97" s="85"/>
      <c r="I97" s="85"/>
      <c r="J97" s="85"/>
      <c r="K97" s="86"/>
    </row>
    <row r="98" spans="1:11" ht="14.25" customHeight="1" x14ac:dyDescent="0.2">
      <c r="A98" s="82"/>
      <c r="B98" s="83"/>
      <c r="C98" s="96"/>
      <c r="D98" s="93"/>
      <c r="E98" s="84"/>
      <c r="F98" s="85"/>
      <c r="G98" s="85"/>
      <c r="H98" s="85"/>
      <c r="I98" s="85"/>
      <c r="J98" s="85"/>
      <c r="K98" s="86"/>
    </row>
    <row r="99" spans="1:11" ht="14.25" customHeight="1" x14ac:dyDescent="0.2">
      <c r="A99" s="82"/>
      <c r="B99" s="83"/>
      <c r="C99" s="96"/>
      <c r="D99" s="93"/>
      <c r="E99" s="84"/>
      <c r="F99" s="85"/>
      <c r="G99" s="85"/>
      <c r="H99" s="85"/>
      <c r="I99" s="85"/>
      <c r="J99" s="85"/>
      <c r="K99" s="86"/>
    </row>
    <row r="100" spans="1:11" ht="14.25" customHeight="1" x14ac:dyDescent="0.2">
      <c r="A100" s="82"/>
      <c r="B100" s="83"/>
      <c r="C100" s="96"/>
      <c r="D100" s="93"/>
      <c r="E100" s="84"/>
      <c r="F100" s="85"/>
      <c r="G100" s="85"/>
      <c r="H100" s="85"/>
      <c r="I100" s="85"/>
      <c r="J100" s="85"/>
    </row>
    <row r="101" spans="1:11" ht="14.25" customHeight="1" x14ac:dyDescent="0.2">
      <c r="A101" s="82"/>
      <c r="B101" s="83"/>
      <c r="C101" s="96"/>
      <c r="D101" s="93"/>
      <c r="E101" s="84"/>
      <c r="F101" s="85"/>
      <c r="G101" s="85"/>
      <c r="H101" s="85"/>
      <c r="I101" s="85"/>
      <c r="J101" s="85"/>
    </row>
    <row r="102" spans="1:11" ht="14.25" customHeight="1" x14ac:dyDescent="0.2">
      <c r="A102" s="82"/>
      <c r="B102" s="83"/>
      <c r="C102" s="96"/>
      <c r="D102" s="93"/>
      <c r="E102" s="84"/>
      <c r="F102" s="85"/>
      <c r="G102" s="85"/>
      <c r="H102" s="85"/>
      <c r="I102" s="85"/>
      <c r="J102" s="85"/>
    </row>
    <row r="103" spans="1:11" ht="14.25" customHeight="1" x14ac:dyDescent="0.2">
      <c r="A103" s="82"/>
      <c r="B103" s="83"/>
      <c r="C103" s="96"/>
      <c r="D103" s="93"/>
      <c r="E103" s="84"/>
      <c r="F103" s="85"/>
      <c r="G103" s="85"/>
      <c r="H103" s="85"/>
      <c r="I103" s="85"/>
      <c r="J103" s="85"/>
    </row>
    <row r="104" spans="1:11" ht="14.25" customHeight="1" x14ac:dyDescent="0.2">
      <c r="A104" s="82"/>
      <c r="B104" s="83"/>
      <c r="C104" s="96"/>
      <c r="D104" s="93"/>
      <c r="E104" s="84"/>
      <c r="F104" s="85"/>
      <c r="G104" s="85"/>
      <c r="H104" s="85"/>
      <c r="I104" s="85"/>
      <c r="J104" s="85"/>
      <c r="K104" s="86"/>
    </row>
    <row r="105" spans="1:11" ht="14.25" customHeight="1" x14ac:dyDescent="0.2">
      <c r="A105" s="82"/>
      <c r="B105" s="83"/>
      <c r="C105" s="96"/>
      <c r="D105" s="93"/>
      <c r="E105" s="84"/>
      <c r="F105" s="85"/>
      <c r="G105" s="85"/>
      <c r="H105" s="85"/>
      <c r="I105" s="85"/>
      <c r="J105" s="85"/>
    </row>
    <row r="106" spans="1:11" ht="14.25" customHeight="1" x14ac:dyDescent="0.2">
      <c r="A106" s="82"/>
      <c r="B106" s="83"/>
      <c r="C106" s="96"/>
      <c r="D106" s="93"/>
      <c r="E106" s="84"/>
      <c r="F106" s="85"/>
      <c r="G106" s="85"/>
      <c r="H106" s="85"/>
      <c r="I106" s="85"/>
      <c r="J106" s="85"/>
    </row>
    <row r="107" spans="1:11" ht="14.25" customHeight="1" x14ac:dyDescent="0.2">
      <c r="A107" s="82"/>
      <c r="B107" s="83"/>
      <c r="C107" s="96"/>
      <c r="D107" s="93"/>
      <c r="E107" s="84"/>
      <c r="F107" s="85"/>
      <c r="G107" s="85"/>
      <c r="H107" s="85"/>
      <c r="I107" s="85"/>
      <c r="J107" s="85"/>
    </row>
    <row r="108" spans="1:11" ht="14.25" customHeight="1" x14ac:dyDescent="0.2">
      <c r="A108" s="82"/>
      <c r="B108" s="83"/>
      <c r="C108" s="96"/>
      <c r="D108" s="93"/>
      <c r="E108" s="84"/>
      <c r="F108" s="85"/>
      <c r="G108" s="85"/>
      <c r="H108" s="85"/>
      <c r="I108" s="85"/>
      <c r="J108" s="85"/>
    </row>
    <row r="109" spans="1:11" ht="14.25" customHeight="1" x14ac:dyDescent="0.2">
      <c r="A109" s="82"/>
      <c r="B109" s="83"/>
      <c r="C109" s="96"/>
      <c r="D109" s="93"/>
      <c r="E109" s="84"/>
      <c r="F109" s="85"/>
      <c r="G109" s="85"/>
      <c r="H109" s="85"/>
      <c r="I109" s="85"/>
      <c r="J109" s="85"/>
    </row>
    <row r="110" spans="1:11" ht="14.25" customHeight="1" x14ac:dyDescent="0.2">
      <c r="A110" s="82"/>
      <c r="B110" s="83"/>
      <c r="C110" s="96"/>
      <c r="D110" s="93"/>
      <c r="E110" s="84"/>
      <c r="F110" s="85"/>
      <c r="G110" s="85"/>
      <c r="H110" s="85"/>
      <c r="I110" s="85"/>
      <c r="J110" s="85"/>
    </row>
    <row r="111" spans="1:11" ht="14.25" customHeight="1" x14ac:dyDescent="0.2">
      <c r="A111" s="82"/>
      <c r="B111" s="83"/>
      <c r="C111" s="96"/>
      <c r="D111" s="93"/>
      <c r="E111" s="84"/>
      <c r="F111" s="85"/>
      <c r="G111" s="85"/>
      <c r="H111" s="85"/>
      <c r="I111" s="85"/>
      <c r="J111" s="85"/>
    </row>
    <row r="112" spans="1:11" ht="14.25" customHeight="1" x14ac:dyDescent="0.2">
      <c r="A112" s="82"/>
      <c r="B112" s="83"/>
      <c r="C112" s="96"/>
      <c r="D112" s="93"/>
      <c r="E112" s="84"/>
      <c r="F112" s="85"/>
      <c r="G112" s="85"/>
      <c r="H112" s="85"/>
      <c r="I112" s="85"/>
      <c r="J112" s="85"/>
      <c r="K112" s="86"/>
    </row>
    <row r="113" spans="1:11" ht="14.25" customHeight="1" x14ac:dyDescent="0.2">
      <c r="A113" s="82"/>
      <c r="B113" s="83"/>
      <c r="C113" s="96"/>
      <c r="D113" s="93"/>
      <c r="E113" s="84"/>
      <c r="F113" s="85"/>
      <c r="G113" s="85"/>
      <c r="H113" s="85"/>
      <c r="I113" s="85"/>
      <c r="J113" s="85"/>
      <c r="K113" s="86"/>
    </row>
    <row r="114" spans="1:11" ht="14.25" customHeight="1" x14ac:dyDescent="0.2">
      <c r="A114" s="82"/>
      <c r="B114" s="83"/>
      <c r="C114" s="96"/>
      <c r="D114" s="93"/>
      <c r="E114" s="84"/>
      <c r="F114" s="85"/>
      <c r="G114" s="85"/>
      <c r="H114" s="85"/>
      <c r="I114" s="85"/>
      <c r="J114" s="85"/>
    </row>
    <row r="115" spans="1:11" ht="14.25" customHeight="1" x14ac:dyDescent="0.2">
      <c r="A115" s="82"/>
      <c r="B115" s="83"/>
      <c r="C115" s="96"/>
      <c r="D115" s="93"/>
      <c r="E115" s="84"/>
      <c r="F115" s="85"/>
      <c r="G115" s="85"/>
      <c r="H115" s="85"/>
      <c r="I115" s="85"/>
      <c r="J115" s="85"/>
    </row>
    <row r="116" spans="1:11" ht="14.25" customHeight="1" x14ac:dyDescent="0.2">
      <c r="A116" s="82"/>
      <c r="B116" s="83"/>
      <c r="C116" s="96"/>
      <c r="D116" s="93"/>
      <c r="E116" s="84"/>
      <c r="F116" s="85"/>
      <c r="G116" s="85"/>
      <c r="H116" s="85"/>
      <c r="I116" s="85"/>
      <c r="J116" s="85"/>
    </row>
    <row r="117" spans="1:11" ht="14.25" customHeight="1" x14ac:dyDescent="0.2">
      <c r="A117" s="82"/>
      <c r="B117" s="83"/>
      <c r="C117" s="96"/>
      <c r="D117" s="93"/>
      <c r="E117" s="84"/>
      <c r="F117" s="85"/>
      <c r="G117" s="85"/>
      <c r="H117" s="85"/>
      <c r="I117" s="85"/>
      <c r="J117" s="85"/>
    </row>
    <row r="118" spans="1:11" ht="14.25" customHeight="1" x14ac:dyDescent="0.2">
      <c r="A118" s="82"/>
      <c r="B118" s="83"/>
      <c r="C118" s="96"/>
      <c r="D118" s="93"/>
      <c r="E118" s="84"/>
      <c r="F118" s="85"/>
      <c r="G118" s="85"/>
      <c r="H118" s="85"/>
      <c r="I118" s="85"/>
      <c r="J118" s="85"/>
    </row>
    <row r="119" spans="1:11" ht="14.25" customHeight="1" x14ac:dyDescent="0.2">
      <c r="A119" s="82"/>
      <c r="B119" s="83"/>
      <c r="C119" s="96"/>
      <c r="D119" s="93"/>
      <c r="E119" s="84"/>
      <c r="F119" s="85"/>
      <c r="G119" s="85"/>
      <c r="H119" s="85"/>
      <c r="I119" s="85"/>
      <c r="J119" s="85"/>
    </row>
    <row r="120" spans="1:11" ht="14.25" customHeight="1" x14ac:dyDescent="0.2">
      <c r="A120" s="82"/>
      <c r="B120" s="83"/>
      <c r="C120" s="96"/>
      <c r="D120" s="93"/>
      <c r="E120" s="84"/>
      <c r="F120" s="85"/>
      <c r="G120" s="85"/>
      <c r="H120" s="85"/>
      <c r="I120" s="85"/>
      <c r="J120" s="85"/>
      <c r="K120" s="86"/>
    </row>
    <row r="121" spans="1:11" ht="14.25" customHeight="1" x14ac:dyDescent="0.2">
      <c r="A121" s="82"/>
      <c r="B121" s="83"/>
      <c r="C121" s="96"/>
      <c r="D121" s="93"/>
      <c r="E121" s="84"/>
      <c r="F121" s="85"/>
      <c r="G121" s="85"/>
      <c r="H121" s="85"/>
      <c r="I121" s="85"/>
      <c r="J121" s="85"/>
      <c r="K121" s="86"/>
    </row>
    <row r="122" spans="1:11" ht="14.25" customHeight="1" x14ac:dyDescent="0.2">
      <c r="A122" s="82"/>
      <c r="B122" s="83"/>
      <c r="C122" s="96"/>
      <c r="D122" s="93"/>
      <c r="E122" s="84"/>
      <c r="F122" s="85"/>
      <c r="G122" s="85"/>
      <c r="H122" s="85"/>
      <c r="I122" s="85"/>
      <c r="J122" s="85"/>
      <c r="K122" s="86"/>
    </row>
    <row r="123" spans="1:11" ht="14.25" customHeight="1" x14ac:dyDescent="0.2">
      <c r="A123" s="82"/>
      <c r="B123" s="83"/>
      <c r="C123" s="96"/>
      <c r="D123" s="93"/>
      <c r="E123" s="84"/>
      <c r="F123" s="85"/>
      <c r="G123" s="85"/>
      <c r="H123" s="85"/>
      <c r="I123" s="85"/>
      <c r="J123" s="85"/>
      <c r="K123" s="86"/>
    </row>
    <row r="124" spans="1:11" ht="14.25" customHeight="1" x14ac:dyDescent="0.2">
      <c r="A124" s="82"/>
      <c r="B124" s="83"/>
      <c r="C124" s="96"/>
      <c r="D124" s="93"/>
      <c r="E124" s="84"/>
      <c r="F124" s="85"/>
      <c r="G124" s="85"/>
      <c r="H124" s="85"/>
      <c r="I124" s="85"/>
      <c r="J124" s="85"/>
      <c r="K124" s="86"/>
    </row>
    <row r="125" spans="1:11" ht="14.25" customHeight="1" x14ac:dyDescent="0.2">
      <c r="A125" s="82"/>
      <c r="B125" s="83"/>
      <c r="C125" s="96"/>
      <c r="D125" s="93"/>
      <c r="E125" s="84"/>
      <c r="F125" s="85"/>
      <c r="G125" s="85"/>
      <c r="H125" s="85"/>
      <c r="I125" s="85"/>
      <c r="J125" s="85"/>
      <c r="K125" s="86"/>
    </row>
    <row r="126" spans="1:11" ht="14.25" customHeight="1" x14ac:dyDescent="0.2">
      <c r="A126" s="82"/>
      <c r="B126" s="83"/>
      <c r="C126" s="96"/>
      <c r="D126" s="93"/>
      <c r="E126" s="84"/>
      <c r="F126" s="85"/>
      <c r="G126" s="85"/>
      <c r="H126" s="85"/>
      <c r="I126" s="85"/>
      <c r="J126" s="85"/>
    </row>
    <row r="127" spans="1:11" ht="14.25" customHeight="1" x14ac:dyDescent="0.2">
      <c r="A127" s="82"/>
      <c r="B127" s="83"/>
      <c r="C127" s="96"/>
      <c r="D127" s="93"/>
      <c r="E127" s="84"/>
      <c r="F127" s="85"/>
      <c r="G127" s="85"/>
      <c r="H127" s="85"/>
      <c r="I127" s="85"/>
      <c r="J127" s="85"/>
      <c r="K127" s="86"/>
    </row>
    <row r="128" spans="1:11" ht="14.25" customHeight="1" x14ac:dyDescent="0.2">
      <c r="A128" s="82"/>
      <c r="B128" s="83"/>
      <c r="C128" s="96"/>
      <c r="D128" s="93"/>
      <c r="E128" s="84"/>
      <c r="F128" s="85"/>
      <c r="G128" s="85"/>
      <c r="H128" s="85"/>
      <c r="I128" s="85"/>
      <c r="J128" s="85"/>
      <c r="K128" s="86"/>
    </row>
    <row r="129" spans="1:11" ht="14.25" customHeight="1" x14ac:dyDescent="0.2">
      <c r="A129" s="82"/>
      <c r="B129" s="83"/>
      <c r="C129" s="96"/>
      <c r="D129" s="93"/>
      <c r="E129" s="84"/>
      <c r="F129" s="85"/>
      <c r="G129" s="85"/>
      <c r="H129" s="85"/>
      <c r="I129" s="85"/>
      <c r="J129" s="85"/>
      <c r="K129" s="86"/>
    </row>
    <row r="130" spans="1:11" ht="14.25" customHeight="1" x14ac:dyDescent="0.2">
      <c r="A130" s="82"/>
      <c r="B130" s="83"/>
      <c r="C130" s="96"/>
      <c r="D130" s="93"/>
      <c r="E130" s="84"/>
      <c r="F130" s="85"/>
      <c r="G130" s="85"/>
      <c r="H130" s="85"/>
      <c r="I130" s="85"/>
      <c r="J130" s="85"/>
    </row>
    <row r="131" spans="1:11" ht="14.25" customHeight="1" x14ac:dyDescent="0.2">
      <c r="A131" s="82"/>
      <c r="B131" s="83"/>
      <c r="C131" s="96"/>
      <c r="D131" s="93"/>
      <c r="E131" s="84"/>
      <c r="F131" s="85"/>
      <c r="G131" s="85"/>
      <c r="H131" s="85"/>
      <c r="I131" s="85"/>
      <c r="J131" s="85"/>
    </row>
    <row r="132" spans="1:11" ht="14.25" customHeight="1" x14ac:dyDescent="0.2">
      <c r="A132" s="82"/>
      <c r="B132" s="83"/>
      <c r="C132" s="96"/>
      <c r="D132" s="93"/>
      <c r="E132" s="84"/>
      <c r="F132" s="85"/>
      <c r="G132" s="85"/>
      <c r="H132" s="85"/>
      <c r="I132" s="85"/>
      <c r="J132" s="85"/>
      <c r="K132" s="86"/>
    </row>
    <row r="133" spans="1:11" ht="14.25" customHeight="1" x14ac:dyDescent="0.2">
      <c r="A133" s="82"/>
      <c r="B133" s="83"/>
      <c r="C133" s="96"/>
      <c r="D133" s="93"/>
      <c r="E133" s="84"/>
      <c r="F133" s="85"/>
      <c r="G133" s="85"/>
      <c r="H133" s="85"/>
      <c r="I133" s="85"/>
      <c r="J133" s="85"/>
    </row>
    <row r="134" spans="1:11" ht="14.25" customHeight="1" x14ac:dyDescent="0.2">
      <c r="A134" s="82"/>
      <c r="B134" s="83"/>
      <c r="C134" s="96"/>
      <c r="D134" s="93"/>
      <c r="E134" s="84"/>
      <c r="F134" s="85"/>
      <c r="G134" s="85"/>
      <c r="H134" s="85"/>
      <c r="I134" s="85"/>
      <c r="J134" s="85"/>
    </row>
    <row r="135" spans="1:11" ht="14.25" customHeight="1" x14ac:dyDescent="0.2">
      <c r="A135" s="82"/>
      <c r="B135" s="83"/>
      <c r="C135" s="96"/>
      <c r="D135" s="93"/>
      <c r="E135" s="84"/>
      <c r="F135" s="85"/>
      <c r="G135" s="85"/>
      <c r="H135" s="85"/>
      <c r="I135" s="85"/>
      <c r="J135" s="85"/>
    </row>
    <row r="136" spans="1:11" ht="14.25" customHeight="1" x14ac:dyDescent="0.2">
      <c r="A136" s="82"/>
      <c r="B136" s="83"/>
      <c r="C136" s="96"/>
      <c r="D136" s="93"/>
      <c r="E136" s="84"/>
      <c r="F136" s="85"/>
      <c r="G136" s="85"/>
      <c r="H136" s="85"/>
      <c r="I136" s="85"/>
      <c r="J136" s="85"/>
    </row>
    <row r="137" spans="1:11" ht="14.25" customHeight="1" x14ac:dyDescent="0.2">
      <c r="A137" s="82"/>
      <c r="B137" s="83"/>
      <c r="C137" s="96"/>
      <c r="D137" s="93"/>
      <c r="E137" s="84"/>
      <c r="F137" s="85"/>
      <c r="G137" s="85"/>
      <c r="H137" s="85"/>
      <c r="I137" s="85"/>
      <c r="J137" s="85"/>
    </row>
    <row r="138" spans="1:11" ht="14.25" customHeight="1" x14ac:dyDescent="0.2">
      <c r="A138" s="82"/>
      <c r="B138" s="83"/>
      <c r="C138" s="96"/>
      <c r="D138" s="93"/>
      <c r="E138" s="84"/>
      <c r="F138" s="85"/>
      <c r="G138" s="85"/>
      <c r="H138" s="85"/>
      <c r="I138" s="85"/>
      <c r="J138" s="85"/>
      <c r="K138" s="86"/>
    </row>
    <row r="139" spans="1:11" ht="14.25" customHeight="1" x14ac:dyDescent="0.2">
      <c r="A139" s="82"/>
      <c r="B139" s="83"/>
      <c r="C139" s="96"/>
      <c r="D139" s="93"/>
      <c r="E139" s="84"/>
      <c r="F139" s="85"/>
      <c r="G139" s="85"/>
      <c r="H139" s="85"/>
      <c r="I139" s="85"/>
      <c r="J139" s="85"/>
      <c r="K139" s="86"/>
    </row>
    <row r="140" spans="1:11" ht="14.25" customHeight="1" x14ac:dyDescent="0.2">
      <c r="A140" s="82"/>
      <c r="B140" s="83"/>
      <c r="C140" s="96"/>
      <c r="D140" s="93"/>
      <c r="E140" s="84"/>
      <c r="F140" s="85"/>
      <c r="G140" s="85"/>
      <c r="H140" s="85"/>
      <c r="I140" s="85"/>
      <c r="J140" s="85"/>
      <c r="K140" s="86"/>
    </row>
    <row r="141" spans="1:11" ht="14.25" customHeight="1" x14ac:dyDescent="0.2">
      <c r="A141" s="82"/>
      <c r="B141" s="83"/>
      <c r="C141" s="96"/>
      <c r="D141" s="93"/>
      <c r="E141" s="84"/>
      <c r="F141" s="85"/>
      <c r="G141" s="85"/>
      <c r="H141" s="85"/>
      <c r="I141" s="85"/>
      <c r="J141" s="85"/>
      <c r="K141" s="86"/>
    </row>
    <row r="142" spans="1:11" ht="14.25" customHeight="1" x14ac:dyDescent="0.2">
      <c r="A142" s="82"/>
      <c r="B142" s="83"/>
      <c r="C142" s="96"/>
      <c r="D142" s="93"/>
      <c r="E142" s="84"/>
      <c r="F142" s="85"/>
      <c r="G142" s="85"/>
      <c r="H142" s="85"/>
      <c r="I142" s="85"/>
      <c r="J142" s="85"/>
      <c r="K142" s="86"/>
    </row>
    <row r="143" spans="1:11" ht="14.25" customHeight="1" x14ac:dyDescent="0.2">
      <c r="A143" s="82"/>
      <c r="B143" s="83"/>
      <c r="C143" s="96"/>
      <c r="D143" s="93"/>
      <c r="E143" s="84"/>
      <c r="F143" s="85"/>
      <c r="G143" s="85"/>
      <c r="H143" s="85"/>
      <c r="I143" s="85"/>
      <c r="J143" s="85"/>
      <c r="K143" s="86"/>
    </row>
    <row r="144" spans="1:11" ht="14.25" customHeight="1" x14ac:dyDescent="0.2">
      <c r="A144" s="82"/>
      <c r="B144" s="83"/>
      <c r="C144" s="96"/>
      <c r="D144" s="93"/>
      <c r="E144" s="84"/>
      <c r="F144" s="85"/>
      <c r="G144" s="85"/>
      <c r="H144" s="85"/>
      <c r="I144" s="85"/>
      <c r="J144" s="85"/>
    </row>
    <row r="145" spans="1:11" ht="14.25" customHeight="1" x14ac:dyDescent="0.2">
      <c r="A145" s="82"/>
      <c r="B145" s="83"/>
      <c r="C145" s="96"/>
      <c r="D145" s="93"/>
      <c r="E145" s="84"/>
      <c r="F145" s="85"/>
      <c r="G145" s="85"/>
      <c r="H145" s="85"/>
      <c r="I145" s="85"/>
    </row>
    <row r="146" spans="1:11" ht="14.25" customHeight="1" x14ac:dyDescent="0.2">
      <c r="A146" s="82"/>
      <c r="B146" s="83"/>
      <c r="C146" s="96"/>
      <c r="E146" s="87"/>
      <c r="J146" s="85"/>
      <c r="K146" s="88"/>
    </row>
    <row r="147" spans="1:11" ht="14.25" customHeight="1" x14ac:dyDescent="0.2">
      <c r="A147" s="82"/>
      <c r="B147" s="83"/>
      <c r="C147" s="96"/>
      <c r="D147" s="93"/>
      <c r="E147" s="87"/>
    </row>
    <row r="148" spans="1:11" ht="14.25" customHeight="1" x14ac:dyDescent="0.2">
      <c r="A148" s="82"/>
      <c r="B148" s="83"/>
      <c r="C148" s="96"/>
      <c r="D148" s="93"/>
      <c r="E148" s="87"/>
    </row>
    <row r="149" spans="1:11" ht="14.25" customHeight="1" x14ac:dyDescent="0.2">
      <c r="A149" s="82"/>
      <c r="B149" s="83"/>
      <c r="C149" s="96"/>
      <c r="D149" s="93"/>
      <c r="E149" s="87"/>
    </row>
    <row r="150" spans="1:11" ht="14.25" customHeight="1" x14ac:dyDescent="0.2">
      <c r="A150" s="82"/>
      <c r="B150" s="83"/>
      <c r="C150" s="96"/>
      <c r="D150" s="93"/>
      <c r="E150" s="87"/>
      <c r="K150" s="86"/>
    </row>
    <row r="151" spans="1:11" ht="14.25" customHeight="1" x14ac:dyDescent="0.2">
      <c r="A151" s="82"/>
      <c r="B151" s="83"/>
      <c r="C151" s="96"/>
      <c r="D151" s="93"/>
      <c r="E151" s="87"/>
    </row>
    <row r="152" spans="1:11" ht="14.25" customHeight="1" x14ac:dyDescent="0.2">
      <c r="A152" s="82"/>
      <c r="B152" s="83"/>
      <c r="C152" s="96"/>
      <c r="D152" s="93"/>
      <c r="E152" s="87"/>
      <c r="K152" s="86"/>
    </row>
    <row r="153" spans="1:11" ht="14.25" customHeight="1" x14ac:dyDescent="0.2">
      <c r="A153" s="82"/>
      <c r="B153" s="83"/>
      <c r="C153" s="96"/>
      <c r="D153" s="93"/>
      <c r="E153" s="87"/>
    </row>
    <row r="154" spans="1:11" ht="14.25" customHeight="1" x14ac:dyDescent="0.2">
      <c r="A154" s="82"/>
      <c r="B154" s="83"/>
      <c r="C154" s="96"/>
      <c r="D154" s="93"/>
      <c r="E154" s="87"/>
      <c r="K154" s="86"/>
    </row>
    <row r="155" spans="1:11" ht="14.25" customHeight="1" x14ac:dyDescent="0.2">
      <c r="A155" s="82"/>
      <c r="B155" s="83"/>
      <c r="C155" s="96"/>
      <c r="D155" s="93"/>
      <c r="E155" s="87"/>
      <c r="K155" s="86"/>
    </row>
    <row r="156" spans="1:11" ht="14.25" customHeight="1" x14ac:dyDescent="0.2">
      <c r="A156" s="82"/>
      <c r="B156" s="83"/>
      <c r="C156" s="96"/>
      <c r="D156" s="93"/>
      <c r="E156" s="87"/>
      <c r="K156" s="1"/>
    </row>
    <row r="157" spans="1:11" ht="14.25" customHeight="1" x14ac:dyDescent="0.2">
      <c r="A157" s="82"/>
      <c r="B157" s="83"/>
      <c r="C157" s="96"/>
      <c r="D157" s="93"/>
      <c r="E157" s="87"/>
    </row>
    <row r="158" spans="1:11" ht="14.25" customHeight="1" x14ac:dyDescent="0.2">
      <c r="A158" s="82"/>
      <c r="B158" s="83"/>
      <c r="C158" s="96"/>
      <c r="D158" s="93"/>
      <c r="E158" s="87"/>
    </row>
    <row r="159" spans="1:11" ht="14.25" customHeight="1" x14ac:dyDescent="0.2">
      <c r="A159" s="82"/>
      <c r="B159" s="83"/>
      <c r="C159" s="96"/>
      <c r="D159" s="93"/>
      <c r="E159" s="87"/>
    </row>
    <row r="160" spans="1:11" ht="14.25" customHeight="1" x14ac:dyDescent="0.2">
      <c r="A160" s="82"/>
      <c r="B160" s="83"/>
      <c r="C160" s="96"/>
      <c r="D160" s="93"/>
      <c r="E160" s="87"/>
      <c r="K160" s="86"/>
    </row>
    <row r="161" spans="1:11" ht="14.25" customHeight="1" x14ac:dyDescent="0.2">
      <c r="A161" s="82"/>
      <c r="B161" s="83"/>
      <c r="C161" s="96"/>
      <c r="D161" s="93"/>
      <c r="E161" s="87"/>
    </row>
    <row r="162" spans="1:11" ht="14.25" customHeight="1" x14ac:dyDescent="0.2">
      <c r="A162" s="82"/>
      <c r="B162" s="83"/>
      <c r="C162" s="96"/>
      <c r="D162" s="93"/>
      <c r="E162" s="87"/>
      <c r="K162" s="86"/>
    </row>
    <row r="163" spans="1:11" ht="14.25" customHeight="1" x14ac:dyDescent="0.2">
      <c r="A163" s="82"/>
      <c r="B163" s="83"/>
      <c r="C163" s="96"/>
      <c r="D163" s="93"/>
      <c r="E163" s="87"/>
      <c r="K163" s="86"/>
    </row>
    <row r="164" spans="1:11" ht="14.25" customHeight="1" x14ac:dyDescent="0.2">
      <c r="A164" s="82"/>
      <c r="B164" s="83"/>
      <c r="C164" s="96"/>
      <c r="D164" s="93"/>
      <c r="E164" s="87"/>
      <c r="K164" s="86"/>
    </row>
    <row r="165" spans="1:11" ht="14.25" customHeight="1" x14ac:dyDescent="0.2">
      <c r="A165" s="82"/>
      <c r="B165" s="83"/>
      <c r="C165" s="96"/>
      <c r="D165" s="93"/>
      <c r="E165" s="87"/>
      <c r="K165" s="86"/>
    </row>
    <row r="166" spans="1:11" ht="14.25" customHeight="1" x14ac:dyDescent="0.2">
      <c r="A166" s="82"/>
      <c r="B166" s="83"/>
      <c r="C166" s="96"/>
      <c r="D166" s="93"/>
      <c r="E166" s="87"/>
      <c r="K166" s="86"/>
    </row>
    <row r="167" spans="1:11" ht="14.25" customHeight="1" x14ac:dyDescent="0.2">
      <c r="A167" s="82"/>
      <c r="B167" s="83"/>
      <c r="C167" s="96"/>
      <c r="D167" s="93"/>
      <c r="E167" s="87"/>
      <c r="K167" s="86"/>
    </row>
    <row r="168" spans="1:11" ht="14.25" customHeight="1" x14ac:dyDescent="0.2">
      <c r="A168" s="82"/>
      <c r="B168" s="83"/>
      <c r="C168" s="96"/>
      <c r="D168" s="93"/>
      <c r="E168" s="87"/>
      <c r="K168" s="86"/>
    </row>
    <row r="169" spans="1:11" ht="14.25" customHeight="1" x14ac:dyDescent="0.2">
      <c r="A169" s="82"/>
      <c r="B169" s="83"/>
      <c r="C169" s="96"/>
      <c r="D169" s="93"/>
      <c r="E169" s="87"/>
      <c r="K169" s="86"/>
    </row>
    <row r="170" spans="1:11" ht="14.25" customHeight="1" x14ac:dyDescent="0.2">
      <c r="A170" s="82"/>
      <c r="B170" s="83"/>
      <c r="C170" s="96"/>
      <c r="D170" s="93"/>
      <c r="E170" s="87"/>
    </row>
    <row r="171" spans="1:11" ht="14.25" customHeight="1" x14ac:dyDescent="0.2">
      <c r="A171" s="82"/>
      <c r="B171" s="83"/>
      <c r="C171" s="96"/>
      <c r="D171" s="93"/>
      <c r="E171" s="87"/>
    </row>
    <row r="172" spans="1:11" ht="14.25" customHeight="1" x14ac:dyDescent="0.2">
      <c r="A172" s="82"/>
      <c r="B172" s="83"/>
      <c r="C172" s="96"/>
      <c r="D172" s="93"/>
      <c r="E172" s="87"/>
    </row>
    <row r="173" spans="1:11" ht="14.25" customHeight="1" x14ac:dyDescent="0.2">
      <c r="A173" s="82"/>
      <c r="B173" s="83"/>
      <c r="C173" s="96"/>
      <c r="D173" s="93"/>
      <c r="E173" s="87"/>
    </row>
    <row r="174" spans="1:11" ht="14.25" customHeight="1" x14ac:dyDescent="0.2">
      <c r="A174" s="82"/>
      <c r="B174" s="83"/>
      <c r="C174" s="96"/>
      <c r="D174" s="93"/>
      <c r="E174" s="87"/>
    </row>
    <row r="175" spans="1:11" ht="14.25" customHeight="1" x14ac:dyDescent="0.2">
      <c r="A175" s="82"/>
      <c r="B175" s="83"/>
      <c r="C175" s="96"/>
      <c r="D175" s="93"/>
      <c r="E175" s="87"/>
    </row>
    <row r="176" spans="1:11" ht="14.25" customHeight="1" x14ac:dyDescent="0.2">
      <c r="A176" s="82"/>
      <c r="B176" s="83"/>
      <c r="C176" s="96"/>
      <c r="D176" s="93"/>
      <c r="E176" s="87"/>
      <c r="K176" s="86"/>
    </row>
    <row r="177" spans="1:31" ht="14.25" customHeight="1" x14ac:dyDescent="0.2">
      <c r="A177" s="82"/>
      <c r="B177" s="83"/>
      <c r="C177" s="96"/>
      <c r="D177" s="93"/>
      <c r="E177" s="87"/>
      <c r="K177" s="86"/>
    </row>
    <row r="178" spans="1:31" ht="14.25" customHeight="1" x14ac:dyDescent="0.2">
      <c r="A178" s="82"/>
      <c r="B178" s="83"/>
      <c r="C178" s="96"/>
      <c r="D178" s="93"/>
      <c r="E178" s="87"/>
      <c r="K178" s="86"/>
    </row>
    <row r="179" spans="1:31" ht="14.25" customHeight="1" x14ac:dyDescent="0.2">
      <c r="A179" s="82"/>
      <c r="B179" s="83"/>
      <c r="C179" s="96"/>
      <c r="D179" s="93"/>
      <c r="E179" s="87"/>
    </row>
    <row r="180" spans="1:31" ht="14.25" customHeight="1" x14ac:dyDescent="0.2">
      <c r="A180" s="82"/>
      <c r="B180" s="83"/>
      <c r="C180" s="96"/>
      <c r="D180" s="93"/>
      <c r="E180" s="87"/>
      <c r="K180" s="86"/>
    </row>
    <row r="181" spans="1:31" ht="14.25" customHeight="1" x14ac:dyDescent="0.2">
      <c r="A181" s="82"/>
      <c r="B181" s="83"/>
      <c r="C181" s="96"/>
      <c r="D181" s="93"/>
      <c r="E181" s="87"/>
      <c r="K181" s="86"/>
    </row>
    <row r="182" spans="1:31" ht="14.25" customHeight="1" x14ac:dyDescent="0.2">
      <c r="A182" s="82"/>
      <c r="B182" s="83"/>
      <c r="C182" s="96"/>
      <c r="D182" s="93"/>
      <c r="E182" s="87"/>
      <c r="K182" s="86"/>
    </row>
    <row r="183" spans="1:31" ht="14.25" customHeight="1" x14ac:dyDescent="0.2">
      <c r="A183" s="89"/>
      <c r="B183" s="83"/>
      <c r="C183" s="96"/>
      <c r="D183" s="100"/>
      <c r="E183" s="90"/>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4.25" customHeight="1" x14ac:dyDescent="0.2">
      <c r="A184" s="82"/>
      <c r="B184" s="83"/>
      <c r="C184" s="96"/>
      <c r="D184" s="93"/>
      <c r="E184" s="87"/>
    </row>
    <row r="185" spans="1:31" ht="14.25" customHeight="1" x14ac:dyDescent="0.2">
      <c r="A185" s="82"/>
      <c r="B185" s="83"/>
      <c r="C185" s="96"/>
      <c r="D185" s="93"/>
      <c r="E185" s="87"/>
    </row>
    <row r="186" spans="1:31" ht="14.25" customHeight="1" x14ac:dyDescent="0.2">
      <c r="A186" s="82"/>
      <c r="B186" s="83"/>
      <c r="C186" s="96"/>
      <c r="D186" s="93"/>
      <c r="E186" s="87"/>
    </row>
    <row r="187" spans="1:31" ht="14.25" customHeight="1" x14ac:dyDescent="0.2">
      <c r="A187" s="82"/>
      <c r="B187" s="83"/>
      <c r="C187" s="96"/>
      <c r="D187" s="93"/>
      <c r="E187" s="87"/>
    </row>
    <row r="188" spans="1:31" ht="14.25" customHeight="1" x14ac:dyDescent="0.2">
      <c r="A188" s="82"/>
      <c r="B188" s="83"/>
      <c r="C188" s="96"/>
      <c r="D188" s="93"/>
      <c r="E188" s="87"/>
      <c r="K188" s="86"/>
    </row>
    <row r="189" spans="1:31" ht="14.25" customHeight="1" x14ac:dyDescent="0.2">
      <c r="A189" s="82"/>
      <c r="B189" s="83"/>
      <c r="C189" s="96"/>
      <c r="D189" s="93"/>
      <c r="E189" s="87"/>
      <c r="K189" s="86"/>
    </row>
    <row r="190" spans="1:31" ht="14.25" customHeight="1" x14ac:dyDescent="0.2">
      <c r="A190" s="82"/>
      <c r="B190" s="83"/>
      <c r="C190" s="96"/>
      <c r="D190" s="93"/>
      <c r="E190" s="87"/>
      <c r="K190" s="86"/>
    </row>
    <row r="191" spans="1:31" ht="14.25" customHeight="1" x14ac:dyDescent="0.2">
      <c r="A191" s="82"/>
      <c r="B191" s="83"/>
      <c r="C191" s="96"/>
      <c r="D191" s="93"/>
      <c r="E191" s="87"/>
      <c r="K191" s="86"/>
    </row>
    <row r="192" spans="1:31" ht="14.25" customHeight="1" x14ac:dyDescent="0.2">
      <c r="A192" s="82"/>
      <c r="B192" s="83"/>
      <c r="C192" s="96"/>
      <c r="D192" s="93"/>
      <c r="E192" s="87"/>
      <c r="K192" s="86"/>
    </row>
    <row r="193" spans="1:11" ht="14.25" customHeight="1" x14ac:dyDescent="0.2">
      <c r="A193" s="82"/>
      <c r="B193" s="83"/>
      <c r="C193" s="96"/>
      <c r="D193" s="93"/>
      <c r="E193" s="87"/>
      <c r="K193" s="86"/>
    </row>
    <row r="194" spans="1:11" ht="14.25" customHeight="1" x14ac:dyDescent="0.2">
      <c r="A194" s="89"/>
      <c r="B194" s="83"/>
      <c r="C194" s="96"/>
      <c r="D194" s="93"/>
      <c r="E194" s="87"/>
    </row>
    <row r="195" spans="1:11" ht="14.25" customHeight="1" x14ac:dyDescent="0.2">
      <c r="A195" s="82"/>
      <c r="B195" s="83"/>
      <c r="C195" s="96"/>
      <c r="D195" s="93"/>
      <c r="E195" s="87"/>
      <c r="K195" s="86"/>
    </row>
    <row r="196" spans="1:11" ht="14.25" customHeight="1" x14ac:dyDescent="0.2">
      <c r="A196" s="82"/>
      <c r="B196" s="83"/>
      <c r="C196" s="96"/>
      <c r="D196" s="93"/>
      <c r="E196" s="87"/>
    </row>
    <row r="197" spans="1:11" ht="14.25" customHeight="1" x14ac:dyDescent="0.2">
      <c r="A197" s="82"/>
      <c r="B197" s="83"/>
      <c r="C197" s="96"/>
      <c r="D197" s="93"/>
      <c r="E197" s="87"/>
    </row>
    <row r="198" spans="1:11" ht="14.25" customHeight="1" x14ac:dyDescent="0.2">
      <c r="A198" s="82"/>
      <c r="B198" s="83"/>
      <c r="C198" s="96"/>
      <c r="D198" s="93"/>
      <c r="E198" s="87"/>
    </row>
    <row r="199" spans="1:11" ht="14.25" customHeight="1" x14ac:dyDescent="0.2">
      <c r="A199" s="82"/>
      <c r="B199" s="83"/>
      <c r="C199" s="96"/>
      <c r="D199" s="93"/>
      <c r="E199" s="87"/>
      <c r="K199" s="86"/>
    </row>
    <row r="200" spans="1:11" ht="14.25" customHeight="1" x14ac:dyDescent="0.2">
      <c r="A200" s="82"/>
      <c r="B200" s="83"/>
      <c r="C200" s="96"/>
      <c r="D200" s="93"/>
      <c r="E200" s="87"/>
      <c r="K200" s="86"/>
    </row>
    <row r="201" spans="1:11" ht="14.25" customHeight="1" x14ac:dyDescent="0.2">
      <c r="A201" s="82"/>
      <c r="B201" s="83"/>
      <c r="C201" s="96"/>
      <c r="D201" s="93"/>
      <c r="E201" s="87"/>
    </row>
    <row r="202" spans="1:11" ht="14.25" customHeight="1" x14ac:dyDescent="0.2">
      <c r="A202" s="82"/>
      <c r="B202" s="83"/>
      <c r="C202" s="96"/>
      <c r="D202" s="93"/>
      <c r="E202" s="87"/>
    </row>
    <row r="203" spans="1:11" ht="14.25" customHeight="1" x14ac:dyDescent="0.2">
      <c r="A203" s="82"/>
      <c r="B203" s="83"/>
      <c r="C203" s="96"/>
      <c r="D203" s="93"/>
      <c r="E203" s="87"/>
    </row>
    <row r="204" spans="1:11" ht="14.25" customHeight="1" x14ac:dyDescent="0.2">
      <c r="A204" s="82"/>
      <c r="B204" s="83" t="e">
        <f t="shared" ref="B204:B458" si="0">IF(H204="credit",#REF!, (#REF!* -1))</f>
        <v>#REF!</v>
      </c>
      <c r="C204" s="96" t="e">
        <f t="shared" ref="C204:C458" si="1">C203+B204</f>
        <v>#REF!</v>
      </c>
      <c r="D204" s="93"/>
      <c r="E204" s="87"/>
    </row>
    <row r="205" spans="1:11" ht="14.25" customHeight="1" x14ac:dyDescent="0.2">
      <c r="A205" s="82"/>
      <c r="B205" s="83" t="e">
        <f t="shared" si="0"/>
        <v>#REF!</v>
      </c>
      <c r="C205" s="96" t="e">
        <f t="shared" si="1"/>
        <v>#REF!</v>
      </c>
      <c r="D205" s="93"/>
      <c r="E205" s="87"/>
    </row>
    <row r="206" spans="1:11" ht="14.25" customHeight="1" x14ac:dyDescent="0.2">
      <c r="A206" s="82"/>
      <c r="B206" s="83" t="e">
        <f t="shared" si="0"/>
        <v>#REF!</v>
      </c>
      <c r="C206" s="96" t="e">
        <f t="shared" si="1"/>
        <v>#REF!</v>
      </c>
      <c r="D206" s="93"/>
      <c r="E206" s="87"/>
    </row>
    <row r="207" spans="1:11" ht="14.25" customHeight="1" x14ac:dyDescent="0.2">
      <c r="A207" s="82"/>
      <c r="B207" s="83" t="e">
        <f t="shared" si="0"/>
        <v>#REF!</v>
      </c>
      <c r="C207" s="96" t="e">
        <f t="shared" si="1"/>
        <v>#REF!</v>
      </c>
      <c r="D207" s="93"/>
      <c r="E207" s="87"/>
    </row>
    <row r="208" spans="1:11" ht="14.25" customHeight="1" x14ac:dyDescent="0.2">
      <c r="A208" s="82"/>
      <c r="B208" s="83" t="e">
        <f t="shared" si="0"/>
        <v>#REF!</v>
      </c>
      <c r="C208" s="96" t="e">
        <f t="shared" si="1"/>
        <v>#REF!</v>
      </c>
      <c r="D208" s="93"/>
      <c r="E208" s="87"/>
    </row>
    <row r="209" spans="1:31" ht="14.25" customHeight="1" x14ac:dyDescent="0.2">
      <c r="A209" s="82"/>
      <c r="B209" s="83" t="e">
        <f t="shared" si="0"/>
        <v>#REF!</v>
      </c>
      <c r="C209" s="96" t="e">
        <f t="shared" si="1"/>
        <v>#REF!</v>
      </c>
      <c r="D209" s="93"/>
      <c r="E209" s="87"/>
    </row>
    <row r="210" spans="1:31" ht="14.25" customHeight="1" x14ac:dyDescent="0.2">
      <c r="A210" s="82"/>
      <c r="B210" s="83" t="e">
        <f t="shared" si="0"/>
        <v>#REF!</v>
      </c>
      <c r="C210" s="96" t="e">
        <f t="shared" si="1"/>
        <v>#REF!</v>
      </c>
      <c r="D210" s="93"/>
      <c r="E210" s="87"/>
    </row>
    <row r="211" spans="1:31" ht="14.25" customHeight="1" x14ac:dyDescent="0.2">
      <c r="A211" s="82"/>
      <c r="B211" s="83" t="e">
        <f t="shared" si="0"/>
        <v>#REF!</v>
      </c>
      <c r="C211" s="96" t="e">
        <f t="shared" si="1"/>
        <v>#REF!</v>
      </c>
      <c r="D211" s="93"/>
      <c r="E211" s="87"/>
      <c r="L211" s="91"/>
      <c r="M211" s="91"/>
      <c r="N211" s="91"/>
      <c r="O211" s="91"/>
      <c r="P211" s="91"/>
      <c r="Q211" s="91"/>
      <c r="R211" s="91"/>
      <c r="S211" s="91"/>
      <c r="T211" s="91"/>
      <c r="U211" s="91"/>
      <c r="V211" s="91"/>
      <c r="W211" s="91"/>
      <c r="X211" s="91"/>
      <c r="Y211" s="91"/>
      <c r="Z211" s="91"/>
      <c r="AA211" s="91"/>
      <c r="AB211" s="91"/>
      <c r="AC211" s="91"/>
      <c r="AD211" s="91"/>
      <c r="AE211" s="91"/>
    </row>
    <row r="212" spans="1:31" ht="14.25" customHeight="1" x14ac:dyDescent="0.2">
      <c r="A212" s="82"/>
      <c r="B212" s="83" t="e">
        <f t="shared" si="0"/>
        <v>#REF!</v>
      </c>
      <c r="C212" s="96" t="e">
        <f t="shared" si="1"/>
        <v>#REF!</v>
      </c>
      <c r="D212" s="93"/>
      <c r="E212" s="87"/>
    </row>
    <row r="213" spans="1:31" ht="14.25" customHeight="1" x14ac:dyDescent="0.2">
      <c r="A213" s="82"/>
      <c r="B213" s="83" t="e">
        <f t="shared" si="0"/>
        <v>#REF!</v>
      </c>
      <c r="C213" s="96" t="e">
        <f t="shared" si="1"/>
        <v>#REF!</v>
      </c>
      <c r="D213" s="93"/>
      <c r="E213" s="87"/>
    </row>
    <row r="214" spans="1:31" ht="14.25" customHeight="1" x14ac:dyDescent="0.2">
      <c r="A214" s="82"/>
      <c r="B214" s="83" t="e">
        <f t="shared" si="0"/>
        <v>#REF!</v>
      </c>
      <c r="C214" s="96" t="e">
        <f t="shared" si="1"/>
        <v>#REF!</v>
      </c>
      <c r="D214" s="93"/>
      <c r="E214" s="87"/>
    </row>
    <row r="215" spans="1:31" ht="14.25" customHeight="1" x14ac:dyDescent="0.2">
      <c r="A215" s="82"/>
      <c r="B215" s="83" t="e">
        <f t="shared" si="0"/>
        <v>#REF!</v>
      </c>
      <c r="C215" s="96" t="e">
        <f t="shared" si="1"/>
        <v>#REF!</v>
      </c>
      <c r="D215" s="93"/>
      <c r="E215" s="87"/>
    </row>
    <row r="216" spans="1:31" ht="14.25" customHeight="1" x14ac:dyDescent="0.2">
      <c r="A216" s="82"/>
      <c r="B216" s="83" t="e">
        <f t="shared" si="0"/>
        <v>#REF!</v>
      </c>
      <c r="C216" s="96" t="e">
        <f t="shared" si="1"/>
        <v>#REF!</v>
      </c>
      <c r="D216" s="93"/>
      <c r="E216" s="87"/>
    </row>
    <row r="217" spans="1:31" ht="14.25" customHeight="1" x14ac:dyDescent="0.2">
      <c r="A217" s="82"/>
      <c r="B217" s="83" t="e">
        <f t="shared" si="0"/>
        <v>#REF!</v>
      </c>
      <c r="C217" s="96" t="e">
        <f t="shared" si="1"/>
        <v>#REF!</v>
      </c>
      <c r="D217" s="93"/>
      <c r="E217" s="87"/>
    </row>
    <row r="218" spans="1:31" ht="14.25" customHeight="1" x14ac:dyDescent="0.2">
      <c r="A218" s="82"/>
      <c r="B218" s="83" t="e">
        <f t="shared" si="0"/>
        <v>#REF!</v>
      </c>
      <c r="C218" s="96" t="e">
        <f t="shared" si="1"/>
        <v>#REF!</v>
      </c>
      <c r="D218" s="93"/>
      <c r="E218" s="87"/>
    </row>
    <row r="219" spans="1:31" ht="14.25" customHeight="1" x14ac:dyDescent="0.2">
      <c r="A219" s="82"/>
      <c r="B219" s="83" t="e">
        <f t="shared" si="0"/>
        <v>#REF!</v>
      </c>
      <c r="C219" s="96" t="e">
        <f t="shared" si="1"/>
        <v>#REF!</v>
      </c>
      <c r="D219" s="93"/>
      <c r="E219" s="87"/>
    </row>
    <row r="220" spans="1:31" ht="14.25" customHeight="1" x14ac:dyDescent="0.2">
      <c r="A220" s="82"/>
      <c r="B220" s="83" t="e">
        <f t="shared" si="0"/>
        <v>#REF!</v>
      </c>
      <c r="C220" s="96" t="e">
        <f t="shared" si="1"/>
        <v>#REF!</v>
      </c>
      <c r="D220" s="93"/>
      <c r="E220" s="87"/>
    </row>
    <row r="221" spans="1:31" ht="14.25" customHeight="1" x14ac:dyDescent="0.2">
      <c r="A221" s="82"/>
      <c r="B221" s="83" t="e">
        <f t="shared" si="0"/>
        <v>#REF!</v>
      </c>
      <c r="C221" s="96" t="e">
        <f t="shared" si="1"/>
        <v>#REF!</v>
      </c>
      <c r="D221" s="93"/>
      <c r="E221" s="87"/>
    </row>
    <row r="222" spans="1:31" ht="14.25" customHeight="1" x14ac:dyDescent="0.2">
      <c r="A222" s="82"/>
      <c r="B222" s="83" t="e">
        <f t="shared" si="0"/>
        <v>#REF!</v>
      </c>
      <c r="C222" s="96" t="e">
        <f t="shared" si="1"/>
        <v>#REF!</v>
      </c>
      <c r="D222" s="93"/>
      <c r="E222" s="87"/>
    </row>
    <row r="223" spans="1:31" ht="14.25" customHeight="1" x14ac:dyDescent="0.2">
      <c r="A223" s="82"/>
      <c r="B223" s="83" t="e">
        <f t="shared" si="0"/>
        <v>#REF!</v>
      </c>
      <c r="C223" s="96" t="e">
        <f t="shared" si="1"/>
        <v>#REF!</v>
      </c>
      <c r="D223" s="93"/>
      <c r="E223" s="87"/>
    </row>
    <row r="224" spans="1:31" ht="14.25" customHeight="1" x14ac:dyDescent="0.2">
      <c r="A224" s="82"/>
      <c r="B224" s="83" t="e">
        <f t="shared" si="0"/>
        <v>#REF!</v>
      </c>
      <c r="C224" s="96" t="e">
        <f t="shared" si="1"/>
        <v>#REF!</v>
      </c>
      <c r="D224" s="93"/>
      <c r="E224" s="87"/>
    </row>
    <row r="225" spans="1:5" ht="14.25" customHeight="1" x14ac:dyDescent="0.2">
      <c r="A225" s="82"/>
      <c r="B225" s="83" t="e">
        <f t="shared" si="0"/>
        <v>#REF!</v>
      </c>
      <c r="C225" s="96" t="e">
        <f t="shared" si="1"/>
        <v>#REF!</v>
      </c>
      <c r="D225" s="93"/>
      <c r="E225" s="87"/>
    </row>
    <row r="226" spans="1:5" ht="14.25" customHeight="1" x14ac:dyDescent="0.2">
      <c r="A226" s="82"/>
      <c r="B226" s="83" t="e">
        <f t="shared" si="0"/>
        <v>#REF!</v>
      </c>
      <c r="C226" s="96" t="e">
        <f t="shared" si="1"/>
        <v>#REF!</v>
      </c>
      <c r="D226" s="93"/>
      <c r="E226" s="87"/>
    </row>
    <row r="227" spans="1:5" ht="14.25" customHeight="1" x14ac:dyDescent="0.2">
      <c r="A227" s="82"/>
      <c r="B227" s="83" t="e">
        <f t="shared" si="0"/>
        <v>#REF!</v>
      </c>
      <c r="C227" s="96" t="e">
        <f t="shared" si="1"/>
        <v>#REF!</v>
      </c>
      <c r="D227" s="93"/>
      <c r="E227" s="87"/>
    </row>
    <row r="228" spans="1:5" ht="14.25" customHeight="1" x14ac:dyDescent="0.2">
      <c r="A228" s="82"/>
      <c r="B228" s="83" t="e">
        <f t="shared" si="0"/>
        <v>#REF!</v>
      </c>
      <c r="C228" s="96" t="e">
        <f t="shared" si="1"/>
        <v>#REF!</v>
      </c>
      <c r="D228" s="93"/>
      <c r="E228" s="87"/>
    </row>
    <row r="229" spans="1:5" ht="14.25" customHeight="1" x14ac:dyDescent="0.2">
      <c r="A229" s="82"/>
      <c r="B229" s="83" t="e">
        <f t="shared" si="0"/>
        <v>#REF!</v>
      </c>
      <c r="C229" s="96" t="e">
        <f t="shared" si="1"/>
        <v>#REF!</v>
      </c>
      <c r="D229" s="93"/>
      <c r="E229" s="87"/>
    </row>
    <row r="230" spans="1:5" ht="14.25" customHeight="1" x14ac:dyDescent="0.2">
      <c r="A230" s="82"/>
      <c r="B230" s="83" t="e">
        <f t="shared" si="0"/>
        <v>#REF!</v>
      </c>
      <c r="C230" s="96" t="e">
        <f t="shared" si="1"/>
        <v>#REF!</v>
      </c>
      <c r="D230" s="93"/>
      <c r="E230" s="87"/>
    </row>
    <row r="231" spans="1:5" ht="14.25" customHeight="1" x14ac:dyDescent="0.2">
      <c r="A231" s="82"/>
      <c r="B231" s="83" t="e">
        <f t="shared" si="0"/>
        <v>#REF!</v>
      </c>
      <c r="C231" s="96" t="e">
        <f t="shared" si="1"/>
        <v>#REF!</v>
      </c>
      <c r="D231" s="93"/>
      <c r="E231" s="87"/>
    </row>
    <row r="232" spans="1:5" ht="14.25" customHeight="1" x14ac:dyDescent="0.2">
      <c r="A232" s="82"/>
      <c r="B232" s="83" t="e">
        <f t="shared" si="0"/>
        <v>#REF!</v>
      </c>
      <c r="C232" s="96" t="e">
        <f t="shared" si="1"/>
        <v>#REF!</v>
      </c>
      <c r="D232" s="93"/>
      <c r="E232" s="87"/>
    </row>
    <row r="233" spans="1:5" ht="14.25" customHeight="1" x14ac:dyDescent="0.2">
      <c r="A233" s="82"/>
      <c r="B233" s="83" t="e">
        <f t="shared" si="0"/>
        <v>#REF!</v>
      </c>
      <c r="C233" s="96" t="e">
        <f t="shared" si="1"/>
        <v>#REF!</v>
      </c>
      <c r="D233" s="93"/>
      <c r="E233" s="87"/>
    </row>
    <row r="234" spans="1:5" ht="14.25" customHeight="1" x14ac:dyDescent="0.2">
      <c r="A234" s="82"/>
      <c r="B234" s="83" t="e">
        <f t="shared" si="0"/>
        <v>#REF!</v>
      </c>
      <c r="C234" s="96" t="e">
        <f t="shared" si="1"/>
        <v>#REF!</v>
      </c>
      <c r="D234" s="93"/>
      <c r="E234" s="87"/>
    </row>
    <row r="235" spans="1:5" ht="14.25" customHeight="1" x14ac:dyDescent="0.2">
      <c r="A235" s="82"/>
      <c r="B235" s="83" t="e">
        <f t="shared" si="0"/>
        <v>#REF!</v>
      </c>
      <c r="C235" s="96" t="e">
        <f t="shared" si="1"/>
        <v>#REF!</v>
      </c>
      <c r="D235" s="93"/>
      <c r="E235" s="87"/>
    </row>
    <row r="236" spans="1:5" ht="14.25" customHeight="1" x14ac:dyDescent="0.2">
      <c r="A236" s="82"/>
      <c r="B236" s="83" t="e">
        <f t="shared" si="0"/>
        <v>#REF!</v>
      </c>
      <c r="C236" s="96" t="e">
        <f t="shared" si="1"/>
        <v>#REF!</v>
      </c>
      <c r="D236" s="93"/>
      <c r="E236" s="87"/>
    </row>
    <row r="237" spans="1:5" ht="14.25" customHeight="1" x14ac:dyDescent="0.2">
      <c r="A237" s="82"/>
      <c r="B237" s="83" t="e">
        <f t="shared" si="0"/>
        <v>#REF!</v>
      </c>
      <c r="C237" s="96" t="e">
        <f t="shared" si="1"/>
        <v>#REF!</v>
      </c>
      <c r="D237" s="93"/>
      <c r="E237" s="87"/>
    </row>
    <row r="238" spans="1:5" ht="14.25" customHeight="1" x14ac:dyDescent="0.2">
      <c r="A238" s="82"/>
      <c r="B238" s="83" t="e">
        <f t="shared" si="0"/>
        <v>#REF!</v>
      </c>
      <c r="C238" s="96" t="e">
        <f t="shared" si="1"/>
        <v>#REF!</v>
      </c>
      <c r="D238" s="93"/>
      <c r="E238" s="87"/>
    </row>
    <row r="239" spans="1:5" ht="14.25" customHeight="1" x14ac:dyDescent="0.2">
      <c r="A239" s="82"/>
      <c r="B239" s="83" t="e">
        <f t="shared" si="0"/>
        <v>#REF!</v>
      </c>
      <c r="C239" s="96" t="e">
        <f t="shared" si="1"/>
        <v>#REF!</v>
      </c>
      <c r="D239" s="93"/>
      <c r="E239" s="87"/>
    </row>
    <row r="240" spans="1:5" ht="14.25" customHeight="1" x14ac:dyDescent="0.2">
      <c r="A240" s="82"/>
      <c r="B240" s="83" t="e">
        <f t="shared" si="0"/>
        <v>#REF!</v>
      </c>
      <c r="C240" s="96" t="e">
        <f t="shared" si="1"/>
        <v>#REF!</v>
      </c>
      <c r="D240" s="93"/>
      <c r="E240" s="87"/>
    </row>
    <row r="241" spans="1:5" ht="14.25" customHeight="1" x14ac:dyDescent="0.2">
      <c r="A241" s="82"/>
      <c r="B241" s="83" t="e">
        <f t="shared" si="0"/>
        <v>#REF!</v>
      </c>
      <c r="C241" s="96" t="e">
        <f t="shared" si="1"/>
        <v>#REF!</v>
      </c>
      <c r="D241" s="93"/>
      <c r="E241" s="87"/>
    </row>
    <row r="242" spans="1:5" ht="14.25" customHeight="1" x14ac:dyDescent="0.2">
      <c r="A242" s="82"/>
      <c r="B242" s="83" t="e">
        <f t="shared" si="0"/>
        <v>#REF!</v>
      </c>
      <c r="C242" s="96" t="e">
        <f t="shared" si="1"/>
        <v>#REF!</v>
      </c>
      <c r="D242" s="93"/>
      <c r="E242" s="87"/>
    </row>
    <row r="243" spans="1:5" ht="14.25" customHeight="1" x14ac:dyDescent="0.2">
      <c r="A243" s="82"/>
      <c r="B243" s="83" t="e">
        <f t="shared" si="0"/>
        <v>#REF!</v>
      </c>
      <c r="C243" s="96" t="e">
        <f t="shared" si="1"/>
        <v>#REF!</v>
      </c>
      <c r="D243" s="93"/>
      <c r="E243" s="87"/>
    </row>
    <row r="244" spans="1:5" ht="14.25" customHeight="1" x14ac:dyDescent="0.2">
      <c r="A244" s="82"/>
      <c r="B244" s="83" t="e">
        <f t="shared" si="0"/>
        <v>#REF!</v>
      </c>
      <c r="C244" s="96" t="e">
        <f t="shared" si="1"/>
        <v>#REF!</v>
      </c>
      <c r="D244" s="93"/>
      <c r="E244" s="87"/>
    </row>
    <row r="245" spans="1:5" ht="14.25" customHeight="1" x14ac:dyDescent="0.2">
      <c r="A245" s="82"/>
      <c r="B245" s="83" t="e">
        <f t="shared" si="0"/>
        <v>#REF!</v>
      </c>
      <c r="C245" s="96" t="e">
        <f t="shared" si="1"/>
        <v>#REF!</v>
      </c>
      <c r="D245" s="93"/>
      <c r="E245" s="87"/>
    </row>
    <row r="246" spans="1:5" ht="14.25" customHeight="1" x14ac:dyDescent="0.2">
      <c r="A246" s="82"/>
      <c r="B246" s="83" t="e">
        <f t="shared" si="0"/>
        <v>#REF!</v>
      </c>
      <c r="C246" s="96" t="e">
        <f t="shared" si="1"/>
        <v>#REF!</v>
      </c>
      <c r="D246" s="93"/>
      <c r="E246" s="87"/>
    </row>
    <row r="247" spans="1:5" ht="14.25" customHeight="1" x14ac:dyDescent="0.2">
      <c r="A247" s="82"/>
      <c r="B247" s="83" t="e">
        <f t="shared" si="0"/>
        <v>#REF!</v>
      </c>
      <c r="C247" s="96" t="e">
        <f t="shared" si="1"/>
        <v>#REF!</v>
      </c>
      <c r="D247" s="93"/>
      <c r="E247" s="87"/>
    </row>
    <row r="248" spans="1:5" ht="14.25" customHeight="1" x14ac:dyDescent="0.2">
      <c r="A248" s="82"/>
      <c r="B248" s="83" t="e">
        <f t="shared" si="0"/>
        <v>#REF!</v>
      </c>
      <c r="C248" s="96" t="e">
        <f t="shared" si="1"/>
        <v>#REF!</v>
      </c>
      <c r="D248" s="93"/>
      <c r="E248" s="87"/>
    </row>
    <row r="249" spans="1:5" ht="14.25" customHeight="1" x14ac:dyDescent="0.2">
      <c r="A249" s="82"/>
      <c r="B249" s="83" t="e">
        <f t="shared" si="0"/>
        <v>#REF!</v>
      </c>
      <c r="C249" s="96" t="e">
        <f t="shared" si="1"/>
        <v>#REF!</v>
      </c>
      <c r="D249" s="93"/>
      <c r="E249" s="87"/>
    </row>
    <row r="250" spans="1:5" ht="14.25" customHeight="1" x14ac:dyDescent="0.2">
      <c r="A250" s="82"/>
      <c r="B250" s="83" t="e">
        <f t="shared" si="0"/>
        <v>#REF!</v>
      </c>
      <c r="C250" s="96" t="e">
        <f t="shared" si="1"/>
        <v>#REF!</v>
      </c>
      <c r="D250" s="93"/>
      <c r="E250" s="87"/>
    </row>
    <row r="251" spans="1:5" ht="14.25" customHeight="1" x14ac:dyDescent="0.2">
      <c r="A251" s="82"/>
      <c r="B251" s="83" t="e">
        <f t="shared" si="0"/>
        <v>#REF!</v>
      </c>
      <c r="C251" s="96" t="e">
        <f t="shared" si="1"/>
        <v>#REF!</v>
      </c>
      <c r="D251" s="93"/>
      <c r="E251" s="87"/>
    </row>
    <row r="252" spans="1:5" ht="14.25" customHeight="1" x14ac:dyDescent="0.2">
      <c r="A252" s="82"/>
      <c r="B252" s="83" t="e">
        <f t="shared" si="0"/>
        <v>#REF!</v>
      </c>
      <c r="C252" s="96" t="e">
        <f t="shared" si="1"/>
        <v>#REF!</v>
      </c>
      <c r="D252" s="93"/>
      <c r="E252" s="87"/>
    </row>
    <row r="253" spans="1:5" ht="14.25" customHeight="1" x14ac:dyDescent="0.2">
      <c r="A253" s="82"/>
      <c r="B253" s="83" t="e">
        <f t="shared" si="0"/>
        <v>#REF!</v>
      </c>
      <c r="C253" s="96" t="e">
        <f t="shared" si="1"/>
        <v>#REF!</v>
      </c>
      <c r="D253" s="93"/>
      <c r="E253" s="87"/>
    </row>
    <row r="254" spans="1:5" ht="14.25" customHeight="1" x14ac:dyDescent="0.2">
      <c r="A254" s="82"/>
      <c r="B254" s="83" t="e">
        <f t="shared" si="0"/>
        <v>#REF!</v>
      </c>
      <c r="C254" s="96" t="e">
        <f t="shared" si="1"/>
        <v>#REF!</v>
      </c>
      <c r="D254" s="93"/>
      <c r="E254" s="87"/>
    </row>
    <row r="255" spans="1:5" ht="14.25" customHeight="1" x14ac:dyDescent="0.2">
      <c r="A255" s="82"/>
      <c r="B255" s="83" t="e">
        <f t="shared" si="0"/>
        <v>#REF!</v>
      </c>
      <c r="C255" s="96" t="e">
        <f t="shared" si="1"/>
        <v>#REF!</v>
      </c>
      <c r="D255" s="93"/>
      <c r="E255" s="87"/>
    </row>
    <row r="256" spans="1:5" ht="14.25" customHeight="1" x14ac:dyDescent="0.2">
      <c r="A256" s="82"/>
      <c r="B256" s="83" t="e">
        <f t="shared" si="0"/>
        <v>#REF!</v>
      </c>
      <c r="C256" s="96" t="e">
        <f t="shared" si="1"/>
        <v>#REF!</v>
      </c>
      <c r="D256" s="93"/>
      <c r="E256" s="87"/>
    </row>
    <row r="257" spans="1:5" ht="14.25" customHeight="1" x14ac:dyDescent="0.2">
      <c r="A257" s="82"/>
      <c r="B257" s="83" t="e">
        <f t="shared" si="0"/>
        <v>#REF!</v>
      </c>
      <c r="C257" s="96" t="e">
        <f t="shared" si="1"/>
        <v>#REF!</v>
      </c>
      <c r="D257" s="93"/>
      <c r="E257" s="87"/>
    </row>
    <row r="258" spans="1:5" ht="14.25" customHeight="1" x14ac:dyDescent="0.2">
      <c r="A258" s="82"/>
      <c r="B258" s="83" t="e">
        <f t="shared" si="0"/>
        <v>#REF!</v>
      </c>
      <c r="C258" s="96" t="e">
        <f t="shared" si="1"/>
        <v>#REF!</v>
      </c>
      <c r="D258" s="93"/>
      <c r="E258" s="87"/>
    </row>
    <row r="259" spans="1:5" ht="14.25" customHeight="1" x14ac:dyDescent="0.2">
      <c r="A259" s="82"/>
      <c r="B259" s="83" t="e">
        <f t="shared" si="0"/>
        <v>#REF!</v>
      </c>
      <c r="C259" s="96" t="e">
        <f t="shared" si="1"/>
        <v>#REF!</v>
      </c>
      <c r="D259" s="93"/>
      <c r="E259" s="87"/>
    </row>
    <row r="260" spans="1:5" ht="14.25" customHeight="1" x14ac:dyDescent="0.2">
      <c r="A260" s="82"/>
      <c r="B260" s="83" t="e">
        <f t="shared" si="0"/>
        <v>#REF!</v>
      </c>
      <c r="C260" s="96" t="e">
        <f t="shared" si="1"/>
        <v>#REF!</v>
      </c>
      <c r="D260" s="93"/>
      <c r="E260" s="87"/>
    </row>
    <row r="261" spans="1:5" ht="14.25" customHeight="1" x14ac:dyDescent="0.2">
      <c r="A261" s="82"/>
      <c r="B261" s="83" t="e">
        <f t="shared" si="0"/>
        <v>#REF!</v>
      </c>
      <c r="C261" s="96" t="e">
        <f t="shared" si="1"/>
        <v>#REF!</v>
      </c>
      <c r="D261" s="93"/>
      <c r="E261" s="87"/>
    </row>
    <row r="262" spans="1:5" ht="14.25" customHeight="1" x14ac:dyDescent="0.2">
      <c r="A262" s="82"/>
      <c r="B262" s="83" t="e">
        <f t="shared" si="0"/>
        <v>#REF!</v>
      </c>
      <c r="C262" s="96" t="e">
        <f t="shared" si="1"/>
        <v>#REF!</v>
      </c>
      <c r="D262" s="93"/>
      <c r="E262" s="87"/>
    </row>
    <row r="263" spans="1:5" ht="14.25" customHeight="1" x14ac:dyDescent="0.2">
      <c r="A263" s="82"/>
      <c r="B263" s="83" t="e">
        <f t="shared" si="0"/>
        <v>#REF!</v>
      </c>
      <c r="C263" s="96" t="e">
        <f t="shared" si="1"/>
        <v>#REF!</v>
      </c>
      <c r="D263" s="93"/>
      <c r="E263" s="87"/>
    </row>
    <row r="264" spans="1:5" ht="14.25" customHeight="1" x14ac:dyDescent="0.2">
      <c r="A264" s="82"/>
      <c r="B264" s="83" t="e">
        <f t="shared" si="0"/>
        <v>#REF!</v>
      </c>
      <c r="C264" s="96" t="e">
        <f t="shared" si="1"/>
        <v>#REF!</v>
      </c>
      <c r="D264" s="93"/>
      <c r="E264" s="87"/>
    </row>
    <row r="265" spans="1:5" ht="14.25" customHeight="1" x14ac:dyDescent="0.2">
      <c r="A265" s="82"/>
      <c r="B265" s="83" t="e">
        <f t="shared" si="0"/>
        <v>#REF!</v>
      </c>
      <c r="C265" s="96" t="e">
        <f t="shared" si="1"/>
        <v>#REF!</v>
      </c>
      <c r="D265" s="93"/>
      <c r="E265" s="87"/>
    </row>
    <row r="266" spans="1:5" ht="14.25" customHeight="1" x14ac:dyDescent="0.2">
      <c r="A266" s="82"/>
      <c r="B266" s="83" t="e">
        <f t="shared" si="0"/>
        <v>#REF!</v>
      </c>
      <c r="C266" s="96" t="e">
        <f t="shared" si="1"/>
        <v>#REF!</v>
      </c>
      <c r="D266" s="93"/>
      <c r="E266" s="87"/>
    </row>
    <row r="267" spans="1:5" ht="14.25" customHeight="1" x14ac:dyDescent="0.2">
      <c r="A267" s="82"/>
      <c r="B267" s="83" t="e">
        <f t="shared" si="0"/>
        <v>#REF!</v>
      </c>
      <c r="C267" s="96" t="e">
        <f t="shared" si="1"/>
        <v>#REF!</v>
      </c>
      <c r="D267" s="93"/>
      <c r="E267" s="87"/>
    </row>
    <row r="268" spans="1:5" ht="14.25" customHeight="1" x14ac:dyDescent="0.2">
      <c r="A268" s="82"/>
      <c r="B268" s="83" t="e">
        <f t="shared" si="0"/>
        <v>#REF!</v>
      </c>
      <c r="C268" s="96" t="e">
        <f t="shared" si="1"/>
        <v>#REF!</v>
      </c>
      <c r="D268" s="93"/>
      <c r="E268" s="87"/>
    </row>
    <row r="269" spans="1:5" ht="14.25" customHeight="1" x14ac:dyDescent="0.2">
      <c r="A269" s="82"/>
      <c r="B269" s="83" t="e">
        <f t="shared" si="0"/>
        <v>#REF!</v>
      </c>
      <c r="C269" s="96" t="e">
        <f t="shared" si="1"/>
        <v>#REF!</v>
      </c>
      <c r="D269" s="93"/>
      <c r="E269" s="87"/>
    </row>
    <row r="270" spans="1:5" ht="14.25" customHeight="1" x14ac:dyDescent="0.2">
      <c r="A270" s="82"/>
      <c r="B270" s="83" t="e">
        <f t="shared" si="0"/>
        <v>#REF!</v>
      </c>
      <c r="C270" s="96" t="e">
        <f t="shared" si="1"/>
        <v>#REF!</v>
      </c>
      <c r="D270" s="93"/>
      <c r="E270" s="87"/>
    </row>
    <row r="271" spans="1:5" ht="14.25" customHeight="1" x14ac:dyDescent="0.2">
      <c r="A271" s="82"/>
      <c r="B271" s="83" t="e">
        <f t="shared" si="0"/>
        <v>#REF!</v>
      </c>
      <c r="C271" s="96" t="e">
        <f t="shared" si="1"/>
        <v>#REF!</v>
      </c>
      <c r="D271" s="93"/>
      <c r="E271" s="87"/>
    </row>
    <row r="272" spans="1:5" ht="14.25" customHeight="1" x14ac:dyDescent="0.2">
      <c r="A272" s="82"/>
      <c r="B272" s="83" t="e">
        <f t="shared" si="0"/>
        <v>#REF!</v>
      </c>
      <c r="C272" s="96" t="e">
        <f t="shared" si="1"/>
        <v>#REF!</v>
      </c>
      <c r="D272" s="93"/>
      <c r="E272" s="87"/>
    </row>
    <row r="273" spans="1:5" ht="14.25" customHeight="1" x14ac:dyDescent="0.2">
      <c r="A273" s="82"/>
      <c r="B273" s="83" t="e">
        <f t="shared" si="0"/>
        <v>#REF!</v>
      </c>
      <c r="C273" s="96" t="e">
        <f t="shared" si="1"/>
        <v>#REF!</v>
      </c>
      <c r="D273" s="93"/>
      <c r="E273" s="87"/>
    </row>
    <row r="274" spans="1:5" ht="14.25" customHeight="1" x14ac:dyDescent="0.2">
      <c r="A274" s="82"/>
      <c r="B274" s="83" t="e">
        <f t="shared" si="0"/>
        <v>#REF!</v>
      </c>
      <c r="C274" s="96" t="e">
        <f t="shared" si="1"/>
        <v>#REF!</v>
      </c>
      <c r="D274" s="93"/>
      <c r="E274" s="87"/>
    </row>
    <row r="275" spans="1:5" ht="14.25" customHeight="1" x14ac:dyDescent="0.2">
      <c r="A275" s="82"/>
      <c r="B275" s="83" t="e">
        <f t="shared" si="0"/>
        <v>#REF!</v>
      </c>
      <c r="C275" s="96" t="e">
        <f t="shared" si="1"/>
        <v>#REF!</v>
      </c>
      <c r="D275" s="93"/>
      <c r="E275" s="87"/>
    </row>
    <row r="276" spans="1:5" ht="14.25" customHeight="1" x14ac:dyDescent="0.2">
      <c r="A276" s="82"/>
      <c r="B276" s="83" t="e">
        <f t="shared" si="0"/>
        <v>#REF!</v>
      </c>
      <c r="C276" s="96" t="e">
        <f t="shared" si="1"/>
        <v>#REF!</v>
      </c>
      <c r="D276" s="93"/>
      <c r="E276" s="87"/>
    </row>
    <row r="277" spans="1:5" ht="14.25" customHeight="1" x14ac:dyDescent="0.2">
      <c r="A277" s="82"/>
      <c r="B277" s="83" t="e">
        <f t="shared" si="0"/>
        <v>#REF!</v>
      </c>
      <c r="C277" s="96" t="e">
        <f t="shared" si="1"/>
        <v>#REF!</v>
      </c>
      <c r="D277" s="93"/>
      <c r="E277" s="87"/>
    </row>
    <row r="278" spans="1:5" ht="14.25" customHeight="1" x14ac:dyDescent="0.2">
      <c r="A278" s="82"/>
      <c r="B278" s="83" t="e">
        <f t="shared" si="0"/>
        <v>#REF!</v>
      </c>
      <c r="C278" s="96" t="e">
        <f t="shared" si="1"/>
        <v>#REF!</v>
      </c>
      <c r="D278" s="93"/>
      <c r="E278" s="87"/>
    </row>
    <row r="279" spans="1:5" ht="14.25" customHeight="1" x14ac:dyDescent="0.2">
      <c r="A279" s="82"/>
      <c r="B279" s="83" t="e">
        <f t="shared" si="0"/>
        <v>#REF!</v>
      </c>
      <c r="C279" s="96" t="e">
        <f t="shared" si="1"/>
        <v>#REF!</v>
      </c>
      <c r="D279" s="93"/>
      <c r="E279" s="87"/>
    </row>
    <row r="280" spans="1:5" ht="14.25" customHeight="1" x14ac:dyDescent="0.2">
      <c r="A280" s="82"/>
      <c r="B280" s="83" t="e">
        <f t="shared" si="0"/>
        <v>#REF!</v>
      </c>
      <c r="C280" s="96" t="e">
        <f t="shared" si="1"/>
        <v>#REF!</v>
      </c>
      <c r="D280" s="93"/>
      <c r="E280" s="87"/>
    </row>
    <row r="281" spans="1:5" ht="14.25" customHeight="1" x14ac:dyDescent="0.2">
      <c r="A281" s="82"/>
      <c r="B281" s="83" t="e">
        <f t="shared" si="0"/>
        <v>#REF!</v>
      </c>
      <c r="C281" s="96" t="e">
        <f t="shared" si="1"/>
        <v>#REF!</v>
      </c>
      <c r="D281" s="93"/>
      <c r="E281" s="87"/>
    </row>
    <row r="282" spans="1:5" ht="14.25" customHeight="1" x14ac:dyDescent="0.2">
      <c r="A282" s="82"/>
      <c r="B282" s="83" t="e">
        <f t="shared" si="0"/>
        <v>#REF!</v>
      </c>
      <c r="C282" s="96" t="e">
        <f t="shared" si="1"/>
        <v>#REF!</v>
      </c>
      <c r="D282" s="93"/>
      <c r="E282" s="87"/>
    </row>
    <row r="283" spans="1:5" ht="14.25" customHeight="1" x14ac:dyDescent="0.2">
      <c r="A283" s="82"/>
      <c r="B283" s="83" t="e">
        <f t="shared" si="0"/>
        <v>#REF!</v>
      </c>
      <c r="C283" s="96" t="e">
        <f t="shared" si="1"/>
        <v>#REF!</v>
      </c>
      <c r="D283" s="93"/>
      <c r="E283" s="87"/>
    </row>
    <row r="284" spans="1:5" ht="14.25" customHeight="1" x14ac:dyDescent="0.2">
      <c r="A284" s="82"/>
      <c r="B284" s="83" t="e">
        <f t="shared" si="0"/>
        <v>#REF!</v>
      </c>
      <c r="C284" s="96" t="e">
        <f t="shared" si="1"/>
        <v>#REF!</v>
      </c>
      <c r="D284" s="93"/>
      <c r="E284" s="87"/>
    </row>
    <row r="285" spans="1:5" ht="14.25" customHeight="1" x14ac:dyDescent="0.2">
      <c r="A285" s="82"/>
      <c r="B285" s="83" t="e">
        <f t="shared" si="0"/>
        <v>#REF!</v>
      </c>
      <c r="C285" s="96" t="e">
        <f t="shared" si="1"/>
        <v>#REF!</v>
      </c>
      <c r="D285" s="93"/>
      <c r="E285" s="87"/>
    </row>
    <row r="286" spans="1:5" ht="14.25" customHeight="1" x14ac:dyDescent="0.2">
      <c r="A286" s="82"/>
      <c r="B286" s="83" t="e">
        <f t="shared" si="0"/>
        <v>#REF!</v>
      </c>
      <c r="C286" s="96" t="e">
        <f t="shared" si="1"/>
        <v>#REF!</v>
      </c>
      <c r="D286" s="93"/>
      <c r="E286" s="87"/>
    </row>
    <row r="287" spans="1:5" ht="14.25" customHeight="1" x14ac:dyDescent="0.2">
      <c r="A287" s="82"/>
      <c r="B287" s="83" t="e">
        <f t="shared" si="0"/>
        <v>#REF!</v>
      </c>
      <c r="C287" s="96" t="e">
        <f t="shared" si="1"/>
        <v>#REF!</v>
      </c>
      <c r="D287" s="93"/>
      <c r="E287" s="87"/>
    </row>
    <row r="288" spans="1:5" ht="14.25" customHeight="1" x14ac:dyDescent="0.2">
      <c r="A288" s="82"/>
      <c r="B288" s="83" t="e">
        <f t="shared" si="0"/>
        <v>#REF!</v>
      </c>
      <c r="C288" s="96" t="e">
        <f t="shared" si="1"/>
        <v>#REF!</v>
      </c>
      <c r="D288" s="93"/>
      <c r="E288" s="87"/>
    </row>
    <row r="289" spans="1:5" ht="14.25" customHeight="1" x14ac:dyDescent="0.2">
      <c r="A289" s="82"/>
      <c r="B289" s="83" t="e">
        <f t="shared" si="0"/>
        <v>#REF!</v>
      </c>
      <c r="C289" s="96" t="e">
        <f t="shared" si="1"/>
        <v>#REF!</v>
      </c>
      <c r="D289" s="93"/>
      <c r="E289" s="87"/>
    </row>
    <row r="290" spans="1:5" ht="14.25" customHeight="1" x14ac:dyDescent="0.2">
      <c r="A290" s="82"/>
      <c r="B290" s="83" t="e">
        <f t="shared" si="0"/>
        <v>#REF!</v>
      </c>
      <c r="C290" s="96" t="e">
        <f t="shared" si="1"/>
        <v>#REF!</v>
      </c>
      <c r="D290" s="93"/>
      <c r="E290" s="87"/>
    </row>
    <row r="291" spans="1:5" ht="14.25" customHeight="1" x14ac:dyDescent="0.2">
      <c r="A291" s="82"/>
      <c r="B291" s="83" t="e">
        <f t="shared" si="0"/>
        <v>#REF!</v>
      </c>
      <c r="C291" s="96" t="e">
        <f t="shared" si="1"/>
        <v>#REF!</v>
      </c>
      <c r="D291" s="93"/>
      <c r="E291" s="87"/>
    </row>
    <row r="292" spans="1:5" ht="14.25" customHeight="1" x14ac:dyDescent="0.2">
      <c r="A292" s="82"/>
      <c r="B292" s="83" t="e">
        <f t="shared" si="0"/>
        <v>#REF!</v>
      </c>
      <c r="C292" s="96" t="e">
        <f t="shared" si="1"/>
        <v>#REF!</v>
      </c>
      <c r="D292" s="93"/>
      <c r="E292" s="87"/>
    </row>
    <row r="293" spans="1:5" ht="14.25" customHeight="1" x14ac:dyDescent="0.2">
      <c r="A293" s="82"/>
      <c r="B293" s="83" t="e">
        <f t="shared" si="0"/>
        <v>#REF!</v>
      </c>
      <c r="C293" s="96" t="e">
        <f t="shared" si="1"/>
        <v>#REF!</v>
      </c>
      <c r="D293" s="93"/>
      <c r="E293" s="87"/>
    </row>
    <row r="294" spans="1:5" ht="14.25" customHeight="1" x14ac:dyDescent="0.2">
      <c r="A294" s="82"/>
      <c r="B294" s="83" t="e">
        <f t="shared" si="0"/>
        <v>#REF!</v>
      </c>
      <c r="C294" s="96" t="e">
        <f t="shared" si="1"/>
        <v>#REF!</v>
      </c>
      <c r="D294" s="93"/>
      <c r="E294" s="87"/>
    </row>
    <row r="295" spans="1:5" ht="14.25" customHeight="1" x14ac:dyDescent="0.2">
      <c r="A295" s="82"/>
      <c r="B295" s="83" t="e">
        <f t="shared" si="0"/>
        <v>#REF!</v>
      </c>
      <c r="C295" s="96" t="e">
        <f t="shared" si="1"/>
        <v>#REF!</v>
      </c>
      <c r="D295" s="93"/>
      <c r="E295" s="87"/>
    </row>
    <row r="296" spans="1:5" ht="14.25" customHeight="1" x14ac:dyDescent="0.2">
      <c r="A296" s="82"/>
      <c r="B296" s="83" t="e">
        <f t="shared" si="0"/>
        <v>#REF!</v>
      </c>
      <c r="C296" s="96" t="e">
        <f t="shared" si="1"/>
        <v>#REF!</v>
      </c>
      <c r="D296" s="93"/>
      <c r="E296" s="87"/>
    </row>
    <row r="297" spans="1:5" ht="14.25" customHeight="1" x14ac:dyDescent="0.2">
      <c r="A297" s="82"/>
      <c r="B297" s="83" t="e">
        <f t="shared" si="0"/>
        <v>#REF!</v>
      </c>
      <c r="C297" s="96" t="e">
        <f t="shared" si="1"/>
        <v>#REF!</v>
      </c>
      <c r="D297" s="93"/>
      <c r="E297" s="87"/>
    </row>
    <row r="298" spans="1:5" ht="14.25" customHeight="1" x14ac:dyDescent="0.2">
      <c r="A298" s="82"/>
      <c r="B298" s="83" t="e">
        <f t="shared" si="0"/>
        <v>#REF!</v>
      </c>
      <c r="C298" s="96" t="e">
        <f t="shared" si="1"/>
        <v>#REF!</v>
      </c>
      <c r="D298" s="93"/>
      <c r="E298" s="87"/>
    </row>
    <row r="299" spans="1:5" ht="14.25" customHeight="1" x14ac:dyDescent="0.2">
      <c r="A299" s="82"/>
      <c r="B299" s="83" t="e">
        <f t="shared" si="0"/>
        <v>#REF!</v>
      </c>
      <c r="C299" s="96" t="e">
        <f t="shared" si="1"/>
        <v>#REF!</v>
      </c>
      <c r="D299" s="93"/>
      <c r="E299" s="87"/>
    </row>
    <row r="300" spans="1:5" ht="14.25" customHeight="1" x14ac:dyDescent="0.2">
      <c r="A300" s="82"/>
      <c r="B300" s="83" t="e">
        <f t="shared" si="0"/>
        <v>#REF!</v>
      </c>
      <c r="C300" s="96" t="e">
        <f t="shared" si="1"/>
        <v>#REF!</v>
      </c>
      <c r="D300" s="93"/>
      <c r="E300" s="87"/>
    </row>
    <row r="301" spans="1:5" ht="14.25" customHeight="1" x14ac:dyDescent="0.2">
      <c r="A301" s="82"/>
      <c r="B301" s="83" t="e">
        <f t="shared" si="0"/>
        <v>#REF!</v>
      </c>
      <c r="C301" s="96" t="e">
        <f t="shared" si="1"/>
        <v>#REF!</v>
      </c>
      <c r="D301" s="93"/>
      <c r="E301" s="87"/>
    </row>
    <row r="302" spans="1:5" ht="14.25" customHeight="1" x14ac:dyDescent="0.2">
      <c r="A302" s="82"/>
      <c r="B302" s="83" t="e">
        <f t="shared" si="0"/>
        <v>#REF!</v>
      </c>
      <c r="C302" s="96" t="e">
        <f t="shared" si="1"/>
        <v>#REF!</v>
      </c>
      <c r="D302" s="93"/>
      <c r="E302" s="87"/>
    </row>
    <row r="303" spans="1:5" ht="14.25" customHeight="1" x14ac:dyDescent="0.2">
      <c r="A303" s="82"/>
      <c r="B303" s="83" t="e">
        <f t="shared" si="0"/>
        <v>#REF!</v>
      </c>
      <c r="C303" s="96" t="e">
        <f t="shared" si="1"/>
        <v>#REF!</v>
      </c>
      <c r="D303" s="93"/>
      <c r="E303" s="87"/>
    </row>
    <row r="304" spans="1:5" ht="14.25" customHeight="1" x14ac:dyDescent="0.2">
      <c r="A304" s="82"/>
      <c r="B304" s="83" t="e">
        <f t="shared" si="0"/>
        <v>#REF!</v>
      </c>
      <c r="C304" s="96" t="e">
        <f t="shared" si="1"/>
        <v>#REF!</v>
      </c>
      <c r="D304" s="93"/>
      <c r="E304" s="87"/>
    </row>
    <row r="305" spans="1:5" ht="14.25" customHeight="1" x14ac:dyDescent="0.2">
      <c r="A305" s="82"/>
      <c r="B305" s="83" t="e">
        <f t="shared" si="0"/>
        <v>#REF!</v>
      </c>
      <c r="C305" s="96" t="e">
        <f t="shared" si="1"/>
        <v>#REF!</v>
      </c>
      <c r="D305" s="93"/>
      <c r="E305" s="87"/>
    </row>
    <row r="306" spans="1:5" ht="14.25" customHeight="1" x14ac:dyDescent="0.2">
      <c r="A306" s="82"/>
      <c r="B306" s="83" t="e">
        <f t="shared" si="0"/>
        <v>#REF!</v>
      </c>
      <c r="C306" s="96" t="e">
        <f t="shared" si="1"/>
        <v>#REF!</v>
      </c>
      <c r="D306" s="93"/>
      <c r="E306" s="87"/>
    </row>
    <row r="307" spans="1:5" ht="14.25" customHeight="1" x14ac:dyDescent="0.2">
      <c r="A307" s="82"/>
      <c r="B307" s="83" t="e">
        <f t="shared" si="0"/>
        <v>#REF!</v>
      </c>
      <c r="C307" s="96" t="e">
        <f t="shared" si="1"/>
        <v>#REF!</v>
      </c>
      <c r="D307" s="93"/>
      <c r="E307" s="87"/>
    </row>
    <row r="308" spans="1:5" ht="14.25" customHeight="1" x14ac:dyDescent="0.2">
      <c r="A308" s="82"/>
      <c r="B308" s="83" t="e">
        <f t="shared" si="0"/>
        <v>#REF!</v>
      </c>
      <c r="C308" s="96" t="e">
        <f t="shared" si="1"/>
        <v>#REF!</v>
      </c>
      <c r="D308" s="93"/>
      <c r="E308" s="87"/>
    </row>
    <row r="309" spans="1:5" ht="14.25" customHeight="1" x14ac:dyDescent="0.2">
      <c r="A309" s="82"/>
      <c r="B309" s="83" t="e">
        <f t="shared" si="0"/>
        <v>#REF!</v>
      </c>
      <c r="C309" s="96" t="e">
        <f t="shared" si="1"/>
        <v>#REF!</v>
      </c>
      <c r="D309" s="93"/>
      <c r="E309" s="87"/>
    </row>
    <row r="310" spans="1:5" ht="14.25" customHeight="1" x14ac:dyDescent="0.2">
      <c r="A310" s="82"/>
      <c r="B310" s="83" t="e">
        <f t="shared" si="0"/>
        <v>#REF!</v>
      </c>
      <c r="C310" s="96" t="e">
        <f t="shared" si="1"/>
        <v>#REF!</v>
      </c>
      <c r="D310" s="93"/>
      <c r="E310" s="87"/>
    </row>
    <row r="311" spans="1:5" ht="14.25" customHeight="1" x14ac:dyDescent="0.2">
      <c r="A311" s="82"/>
      <c r="B311" s="83" t="e">
        <f t="shared" si="0"/>
        <v>#REF!</v>
      </c>
      <c r="C311" s="96" t="e">
        <f t="shared" si="1"/>
        <v>#REF!</v>
      </c>
      <c r="D311" s="93"/>
      <c r="E311" s="87"/>
    </row>
    <row r="312" spans="1:5" ht="14.25" customHeight="1" x14ac:dyDescent="0.2">
      <c r="A312" s="82"/>
      <c r="B312" s="83" t="e">
        <f t="shared" si="0"/>
        <v>#REF!</v>
      </c>
      <c r="C312" s="96" t="e">
        <f t="shared" si="1"/>
        <v>#REF!</v>
      </c>
      <c r="D312" s="93"/>
      <c r="E312" s="87"/>
    </row>
    <row r="313" spans="1:5" ht="14.25" customHeight="1" x14ac:dyDescent="0.2">
      <c r="A313" s="82"/>
      <c r="B313" s="83" t="e">
        <f t="shared" si="0"/>
        <v>#REF!</v>
      </c>
      <c r="C313" s="96" t="e">
        <f t="shared" si="1"/>
        <v>#REF!</v>
      </c>
      <c r="D313" s="93"/>
      <c r="E313" s="87"/>
    </row>
    <row r="314" spans="1:5" ht="14.25" customHeight="1" x14ac:dyDescent="0.2">
      <c r="A314" s="82"/>
      <c r="B314" s="83" t="e">
        <f t="shared" si="0"/>
        <v>#REF!</v>
      </c>
      <c r="C314" s="96" t="e">
        <f t="shared" si="1"/>
        <v>#REF!</v>
      </c>
      <c r="D314" s="93"/>
      <c r="E314" s="87"/>
    </row>
    <row r="315" spans="1:5" ht="14.25" customHeight="1" x14ac:dyDescent="0.2">
      <c r="A315" s="82"/>
      <c r="B315" s="83" t="e">
        <f t="shared" si="0"/>
        <v>#REF!</v>
      </c>
      <c r="C315" s="96" t="e">
        <f t="shared" si="1"/>
        <v>#REF!</v>
      </c>
      <c r="D315" s="93"/>
      <c r="E315" s="87"/>
    </row>
    <row r="316" spans="1:5" ht="14.25" customHeight="1" x14ac:dyDescent="0.2">
      <c r="A316" s="82"/>
      <c r="B316" s="83" t="e">
        <f t="shared" si="0"/>
        <v>#REF!</v>
      </c>
      <c r="C316" s="96" t="e">
        <f t="shared" si="1"/>
        <v>#REF!</v>
      </c>
      <c r="D316" s="93"/>
      <c r="E316" s="87"/>
    </row>
    <row r="317" spans="1:5" ht="14.25" customHeight="1" x14ac:dyDescent="0.2">
      <c r="A317" s="82"/>
      <c r="B317" s="83" t="e">
        <f t="shared" si="0"/>
        <v>#REF!</v>
      </c>
      <c r="C317" s="96" t="e">
        <f t="shared" si="1"/>
        <v>#REF!</v>
      </c>
      <c r="D317" s="93"/>
      <c r="E317" s="87"/>
    </row>
    <row r="318" spans="1:5" ht="14.25" customHeight="1" x14ac:dyDescent="0.2">
      <c r="A318" s="82"/>
      <c r="B318" s="83" t="e">
        <f t="shared" si="0"/>
        <v>#REF!</v>
      </c>
      <c r="C318" s="96" t="e">
        <f t="shared" si="1"/>
        <v>#REF!</v>
      </c>
      <c r="D318" s="93"/>
      <c r="E318" s="87"/>
    </row>
    <row r="319" spans="1:5" ht="14.25" customHeight="1" x14ac:dyDescent="0.2">
      <c r="A319" s="82"/>
      <c r="B319" s="83" t="e">
        <f t="shared" si="0"/>
        <v>#REF!</v>
      </c>
      <c r="C319" s="96" t="e">
        <f t="shared" si="1"/>
        <v>#REF!</v>
      </c>
      <c r="D319" s="93"/>
      <c r="E319" s="87"/>
    </row>
    <row r="320" spans="1:5" ht="14.25" customHeight="1" x14ac:dyDescent="0.2">
      <c r="A320" s="82"/>
      <c r="B320" s="83" t="e">
        <f t="shared" si="0"/>
        <v>#REF!</v>
      </c>
      <c r="C320" s="96" t="e">
        <f t="shared" si="1"/>
        <v>#REF!</v>
      </c>
      <c r="D320" s="93"/>
      <c r="E320" s="87"/>
    </row>
    <row r="321" spans="1:5" ht="14.25" customHeight="1" x14ac:dyDescent="0.2">
      <c r="A321" s="82"/>
      <c r="B321" s="83" t="e">
        <f t="shared" si="0"/>
        <v>#REF!</v>
      </c>
      <c r="C321" s="96" t="e">
        <f t="shared" si="1"/>
        <v>#REF!</v>
      </c>
      <c r="D321" s="93"/>
      <c r="E321" s="87"/>
    </row>
    <row r="322" spans="1:5" ht="14.25" customHeight="1" x14ac:dyDescent="0.2">
      <c r="A322" s="82"/>
      <c r="B322" s="83" t="e">
        <f t="shared" si="0"/>
        <v>#REF!</v>
      </c>
      <c r="C322" s="96" t="e">
        <f t="shared" si="1"/>
        <v>#REF!</v>
      </c>
      <c r="D322" s="93"/>
      <c r="E322" s="87"/>
    </row>
    <row r="323" spans="1:5" ht="14.25" customHeight="1" x14ac:dyDescent="0.2">
      <c r="A323" s="82"/>
      <c r="B323" s="83" t="e">
        <f t="shared" si="0"/>
        <v>#REF!</v>
      </c>
      <c r="C323" s="96" t="e">
        <f t="shared" si="1"/>
        <v>#REF!</v>
      </c>
      <c r="D323" s="93"/>
      <c r="E323" s="87"/>
    </row>
    <row r="324" spans="1:5" ht="14.25" customHeight="1" x14ac:dyDescent="0.2">
      <c r="A324" s="82"/>
      <c r="B324" s="83" t="e">
        <f t="shared" si="0"/>
        <v>#REF!</v>
      </c>
      <c r="C324" s="96" t="e">
        <f t="shared" si="1"/>
        <v>#REF!</v>
      </c>
      <c r="D324" s="93"/>
      <c r="E324" s="87"/>
    </row>
    <row r="325" spans="1:5" ht="14.25" customHeight="1" x14ac:dyDescent="0.2">
      <c r="A325" s="82"/>
      <c r="B325" s="83" t="e">
        <f t="shared" si="0"/>
        <v>#REF!</v>
      </c>
      <c r="C325" s="96" t="e">
        <f t="shared" si="1"/>
        <v>#REF!</v>
      </c>
      <c r="D325" s="93"/>
      <c r="E325" s="87"/>
    </row>
    <row r="326" spans="1:5" ht="14.25" customHeight="1" x14ac:dyDescent="0.2">
      <c r="A326" s="82"/>
      <c r="B326" s="83" t="e">
        <f t="shared" si="0"/>
        <v>#REF!</v>
      </c>
      <c r="C326" s="96" t="e">
        <f t="shared" si="1"/>
        <v>#REF!</v>
      </c>
      <c r="D326" s="93"/>
      <c r="E326" s="87"/>
    </row>
    <row r="327" spans="1:5" ht="14.25" customHeight="1" x14ac:dyDescent="0.2">
      <c r="A327" s="82"/>
      <c r="B327" s="83" t="e">
        <f t="shared" si="0"/>
        <v>#REF!</v>
      </c>
      <c r="C327" s="96" t="e">
        <f t="shared" si="1"/>
        <v>#REF!</v>
      </c>
      <c r="D327" s="93"/>
      <c r="E327" s="87"/>
    </row>
    <row r="328" spans="1:5" ht="14.25" customHeight="1" x14ac:dyDescent="0.2">
      <c r="A328" s="82"/>
      <c r="B328" s="83" t="e">
        <f t="shared" si="0"/>
        <v>#REF!</v>
      </c>
      <c r="C328" s="96" t="e">
        <f t="shared" si="1"/>
        <v>#REF!</v>
      </c>
      <c r="D328" s="93"/>
      <c r="E328" s="87"/>
    </row>
    <row r="329" spans="1:5" ht="14.25" customHeight="1" x14ac:dyDescent="0.2">
      <c r="A329" s="82"/>
      <c r="B329" s="83" t="e">
        <f t="shared" si="0"/>
        <v>#REF!</v>
      </c>
      <c r="C329" s="96" t="e">
        <f t="shared" si="1"/>
        <v>#REF!</v>
      </c>
      <c r="D329" s="93"/>
      <c r="E329" s="87"/>
    </row>
    <row r="330" spans="1:5" ht="14.25" customHeight="1" x14ac:dyDescent="0.2">
      <c r="A330" s="82"/>
      <c r="B330" s="83" t="e">
        <f t="shared" si="0"/>
        <v>#REF!</v>
      </c>
      <c r="C330" s="96" t="e">
        <f t="shared" si="1"/>
        <v>#REF!</v>
      </c>
      <c r="D330" s="93"/>
      <c r="E330" s="87"/>
    </row>
    <row r="331" spans="1:5" ht="14.25" customHeight="1" x14ac:dyDescent="0.2">
      <c r="A331" s="82"/>
      <c r="B331" s="83" t="e">
        <f t="shared" si="0"/>
        <v>#REF!</v>
      </c>
      <c r="C331" s="96" t="e">
        <f t="shared" si="1"/>
        <v>#REF!</v>
      </c>
      <c r="D331" s="93"/>
      <c r="E331" s="87"/>
    </row>
    <row r="332" spans="1:5" ht="14.25" customHeight="1" x14ac:dyDescent="0.2">
      <c r="A332" s="82"/>
      <c r="B332" s="83" t="e">
        <f t="shared" si="0"/>
        <v>#REF!</v>
      </c>
      <c r="C332" s="96" t="e">
        <f t="shared" si="1"/>
        <v>#REF!</v>
      </c>
      <c r="D332" s="93"/>
      <c r="E332" s="87"/>
    </row>
    <row r="333" spans="1:5" ht="14.25" customHeight="1" x14ac:dyDescent="0.2">
      <c r="A333" s="82"/>
      <c r="B333" s="83" t="e">
        <f t="shared" si="0"/>
        <v>#REF!</v>
      </c>
      <c r="C333" s="96" t="e">
        <f t="shared" si="1"/>
        <v>#REF!</v>
      </c>
      <c r="D333" s="93"/>
      <c r="E333" s="87"/>
    </row>
    <row r="334" spans="1:5" ht="14.25" customHeight="1" x14ac:dyDescent="0.2">
      <c r="A334" s="82"/>
      <c r="B334" s="83" t="e">
        <f t="shared" si="0"/>
        <v>#REF!</v>
      </c>
      <c r="C334" s="96" t="e">
        <f t="shared" si="1"/>
        <v>#REF!</v>
      </c>
      <c r="D334" s="93"/>
      <c r="E334" s="87"/>
    </row>
    <row r="335" spans="1:5" ht="14.25" customHeight="1" x14ac:dyDescent="0.2">
      <c r="A335" s="82"/>
      <c r="B335" s="83" t="e">
        <f t="shared" si="0"/>
        <v>#REF!</v>
      </c>
      <c r="C335" s="96" t="e">
        <f t="shared" si="1"/>
        <v>#REF!</v>
      </c>
      <c r="D335" s="93"/>
      <c r="E335" s="87"/>
    </row>
    <row r="336" spans="1:5" ht="14.25" customHeight="1" x14ac:dyDescent="0.2">
      <c r="A336" s="82"/>
      <c r="B336" s="83" t="e">
        <f t="shared" si="0"/>
        <v>#REF!</v>
      </c>
      <c r="C336" s="96" t="e">
        <f t="shared" si="1"/>
        <v>#REF!</v>
      </c>
      <c r="D336" s="93"/>
      <c r="E336" s="87"/>
    </row>
    <row r="337" spans="1:5" ht="14.25" customHeight="1" x14ac:dyDescent="0.2">
      <c r="A337" s="82"/>
      <c r="B337" s="83" t="e">
        <f t="shared" si="0"/>
        <v>#REF!</v>
      </c>
      <c r="C337" s="96" t="e">
        <f t="shared" si="1"/>
        <v>#REF!</v>
      </c>
      <c r="D337" s="93"/>
      <c r="E337" s="87"/>
    </row>
    <row r="338" spans="1:5" ht="14.25" customHeight="1" x14ac:dyDescent="0.2">
      <c r="A338" s="82"/>
      <c r="B338" s="83" t="e">
        <f t="shared" si="0"/>
        <v>#REF!</v>
      </c>
      <c r="C338" s="96" t="e">
        <f t="shared" si="1"/>
        <v>#REF!</v>
      </c>
      <c r="D338" s="93"/>
      <c r="E338" s="87"/>
    </row>
    <row r="339" spans="1:5" ht="14.25" customHeight="1" x14ac:dyDescent="0.2">
      <c r="A339" s="82"/>
      <c r="B339" s="83" t="e">
        <f t="shared" si="0"/>
        <v>#REF!</v>
      </c>
      <c r="C339" s="96" t="e">
        <f t="shared" si="1"/>
        <v>#REF!</v>
      </c>
      <c r="D339" s="93"/>
      <c r="E339" s="87"/>
    </row>
    <row r="340" spans="1:5" ht="14.25" customHeight="1" x14ac:dyDescent="0.2">
      <c r="A340" s="82"/>
      <c r="B340" s="83" t="e">
        <f t="shared" si="0"/>
        <v>#REF!</v>
      </c>
      <c r="C340" s="96" t="e">
        <f t="shared" si="1"/>
        <v>#REF!</v>
      </c>
      <c r="D340" s="93"/>
      <c r="E340" s="87"/>
    </row>
    <row r="341" spans="1:5" ht="14.25" customHeight="1" x14ac:dyDescent="0.2">
      <c r="A341" s="82"/>
      <c r="B341" s="83" t="e">
        <f t="shared" si="0"/>
        <v>#REF!</v>
      </c>
      <c r="C341" s="96" t="e">
        <f t="shared" si="1"/>
        <v>#REF!</v>
      </c>
      <c r="D341" s="93"/>
      <c r="E341" s="87"/>
    </row>
    <row r="342" spans="1:5" ht="14.25" customHeight="1" x14ac:dyDescent="0.2">
      <c r="A342" s="82"/>
      <c r="B342" s="83" t="e">
        <f t="shared" si="0"/>
        <v>#REF!</v>
      </c>
      <c r="C342" s="96" t="e">
        <f t="shared" si="1"/>
        <v>#REF!</v>
      </c>
      <c r="D342" s="93"/>
      <c r="E342" s="87"/>
    </row>
    <row r="343" spans="1:5" ht="14.25" customHeight="1" x14ac:dyDescent="0.2">
      <c r="A343" s="82"/>
      <c r="B343" s="83" t="e">
        <f t="shared" si="0"/>
        <v>#REF!</v>
      </c>
      <c r="C343" s="96" t="e">
        <f t="shared" si="1"/>
        <v>#REF!</v>
      </c>
      <c r="D343" s="93"/>
      <c r="E343" s="87"/>
    </row>
    <row r="344" spans="1:5" ht="14.25" customHeight="1" x14ac:dyDescent="0.2">
      <c r="A344" s="82"/>
      <c r="B344" s="83" t="e">
        <f t="shared" si="0"/>
        <v>#REF!</v>
      </c>
      <c r="C344" s="96" t="e">
        <f t="shared" si="1"/>
        <v>#REF!</v>
      </c>
      <c r="D344" s="93"/>
      <c r="E344" s="87"/>
    </row>
    <row r="345" spans="1:5" ht="14.25" customHeight="1" x14ac:dyDescent="0.2">
      <c r="A345" s="82"/>
      <c r="B345" s="83" t="e">
        <f t="shared" si="0"/>
        <v>#REF!</v>
      </c>
      <c r="C345" s="96" t="e">
        <f t="shared" si="1"/>
        <v>#REF!</v>
      </c>
      <c r="D345" s="93"/>
      <c r="E345" s="87"/>
    </row>
    <row r="346" spans="1:5" ht="14.25" customHeight="1" x14ac:dyDescent="0.2">
      <c r="A346" s="82"/>
      <c r="B346" s="83" t="e">
        <f t="shared" si="0"/>
        <v>#REF!</v>
      </c>
      <c r="C346" s="96" t="e">
        <f t="shared" si="1"/>
        <v>#REF!</v>
      </c>
      <c r="D346" s="93"/>
      <c r="E346" s="87"/>
    </row>
    <row r="347" spans="1:5" ht="14.25" customHeight="1" x14ac:dyDescent="0.2">
      <c r="A347" s="82"/>
      <c r="B347" s="83" t="e">
        <f t="shared" si="0"/>
        <v>#REF!</v>
      </c>
      <c r="C347" s="96" t="e">
        <f t="shared" si="1"/>
        <v>#REF!</v>
      </c>
      <c r="D347" s="93"/>
      <c r="E347" s="87"/>
    </row>
    <row r="348" spans="1:5" ht="14.25" customHeight="1" x14ac:dyDescent="0.2">
      <c r="A348" s="82"/>
      <c r="B348" s="83" t="e">
        <f t="shared" si="0"/>
        <v>#REF!</v>
      </c>
      <c r="C348" s="96" t="e">
        <f t="shared" si="1"/>
        <v>#REF!</v>
      </c>
      <c r="D348" s="93"/>
      <c r="E348" s="87"/>
    </row>
    <row r="349" spans="1:5" ht="14.25" customHeight="1" x14ac:dyDescent="0.2">
      <c r="A349" s="82"/>
      <c r="B349" s="83" t="e">
        <f t="shared" si="0"/>
        <v>#REF!</v>
      </c>
      <c r="C349" s="96" t="e">
        <f t="shared" si="1"/>
        <v>#REF!</v>
      </c>
      <c r="D349" s="93"/>
      <c r="E349" s="87"/>
    </row>
    <row r="350" spans="1:5" ht="14.25" customHeight="1" x14ac:dyDescent="0.2">
      <c r="A350" s="82"/>
      <c r="B350" s="83" t="e">
        <f t="shared" si="0"/>
        <v>#REF!</v>
      </c>
      <c r="C350" s="96" t="e">
        <f t="shared" si="1"/>
        <v>#REF!</v>
      </c>
      <c r="D350" s="93"/>
      <c r="E350" s="87"/>
    </row>
    <row r="351" spans="1:5" ht="14.25" customHeight="1" x14ac:dyDescent="0.2">
      <c r="A351" s="82"/>
      <c r="B351" s="83" t="e">
        <f t="shared" si="0"/>
        <v>#REF!</v>
      </c>
      <c r="C351" s="96" t="e">
        <f t="shared" si="1"/>
        <v>#REF!</v>
      </c>
      <c r="D351" s="93"/>
      <c r="E351" s="87"/>
    </row>
    <row r="352" spans="1:5" ht="14.25" customHeight="1" x14ac:dyDescent="0.2">
      <c r="A352" s="82"/>
      <c r="B352" s="83" t="e">
        <f t="shared" si="0"/>
        <v>#REF!</v>
      </c>
      <c r="C352" s="96" t="e">
        <f t="shared" si="1"/>
        <v>#REF!</v>
      </c>
      <c r="D352" s="93"/>
      <c r="E352" s="87"/>
    </row>
    <row r="353" spans="1:5" ht="14.25" customHeight="1" x14ac:dyDescent="0.2">
      <c r="A353" s="82"/>
      <c r="B353" s="83" t="e">
        <f t="shared" si="0"/>
        <v>#REF!</v>
      </c>
      <c r="C353" s="96" t="e">
        <f t="shared" si="1"/>
        <v>#REF!</v>
      </c>
      <c r="D353" s="93"/>
      <c r="E353" s="87"/>
    </row>
    <row r="354" spans="1:5" ht="14.25" customHeight="1" x14ac:dyDescent="0.2">
      <c r="A354" s="82"/>
      <c r="B354" s="83" t="e">
        <f t="shared" si="0"/>
        <v>#REF!</v>
      </c>
      <c r="C354" s="96" t="e">
        <f t="shared" si="1"/>
        <v>#REF!</v>
      </c>
      <c r="D354" s="93"/>
      <c r="E354" s="87"/>
    </row>
    <row r="355" spans="1:5" ht="14.25" customHeight="1" x14ac:dyDescent="0.2">
      <c r="A355" s="82"/>
      <c r="B355" s="83" t="e">
        <f t="shared" si="0"/>
        <v>#REF!</v>
      </c>
      <c r="C355" s="96" t="e">
        <f t="shared" si="1"/>
        <v>#REF!</v>
      </c>
      <c r="D355" s="93"/>
      <c r="E355" s="87"/>
    </row>
    <row r="356" spans="1:5" ht="14.25" customHeight="1" x14ac:dyDescent="0.2">
      <c r="A356" s="82"/>
      <c r="B356" s="83" t="e">
        <f t="shared" si="0"/>
        <v>#REF!</v>
      </c>
      <c r="C356" s="96" t="e">
        <f t="shared" si="1"/>
        <v>#REF!</v>
      </c>
      <c r="D356" s="93"/>
      <c r="E356" s="87"/>
    </row>
    <row r="357" spans="1:5" ht="14.25" customHeight="1" x14ac:dyDescent="0.2">
      <c r="A357" s="82"/>
      <c r="B357" s="83" t="e">
        <f t="shared" si="0"/>
        <v>#REF!</v>
      </c>
      <c r="C357" s="96" t="e">
        <f t="shared" si="1"/>
        <v>#REF!</v>
      </c>
      <c r="D357" s="93"/>
      <c r="E357" s="87"/>
    </row>
    <row r="358" spans="1:5" ht="14.25" customHeight="1" x14ac:dyDescent="0.2">
      <c r="A358" s="82"/>
      <c r="B358" s="83" t="e">
        <f t="shared" si="0"/>
        <v>#REF!</v>
      </c>
      <c r="C358" s="96" t="e">
        <f t="shared" si="1"/>
        <v>#REF!</v>
      </c>
      <c r="D358" s="93"/>
      <c r="E358" s="87"/>
    </row>
    <row r="359" spans="1:5" ht="14.25" customHeight="1" x14ac:dyDescent="0.2">
      <c r="A359" s="82"/>
      <c r="B359" s="83" t="e">
        <f t="shared" si="0"/>
        <v>#REF!</v>
      </c>
      <c r="C359" s="96" t="e">
        <f t="shared" si="1"/>
        <v>#REF!</v>
      </c>
      <c r="D359" s="93"/>
      <c r="E359" s="87"/>
    </row>
    <row r="360" spans="1:5" ht="14.25" customHeight="1" x14ac:dyDescent="0.2">
      <c r="A360" s="82"/>
      <c r="B360" s="83" t="e">
        <f t="shared" si="0"/>
        <v>#REF!</v>
      </c>
      <c r="C360" s="96" t="e">
        <f t="shared" si="1"/>
        <v>#REF!</v>
      </c>
      <c r="D360" s="93"/>
      <c r="E360" s="87"/>
    </row>
    <row r="361" spans="1:5" ht="14.25" customHeight="1" x14ac:dyDescent="0.2">
      <c r="A361" s="82"/>
      <c r="B361" s="83" t="e">
        <f t="shared" si="0"/>
        <v>#REF!</v>
      </c>
      <c r="C361" s="96" t="e">
        <f t="shared" si="1"/>
        <v>#REF!</v>
      </c>
      <c r="D361" s="93"/>
      <c r="E361" s="87"/>
    </row>
    <row r="362" spans="1:5" ht="14.25" customHeight="1" x14ac:dyDescent="0.2">
      <c r="A362" s="82"/>
      <c r="B362" s="83" t="e">
        <f t="shared" si="0"/>
        <v>#REF!</v>
      </c>
      <c r="C362" s="96" t="e">
        <f t="shared" si="1"/>
        <v>#REF!</v>
      </c>
      <c r="D362" s="93"/>
      <c r="E362" s="87"/>
    </row>
    <row r="363" spans="1:5" ht="14.25" customHeight="1" x14ac:dyDescent="0.2">
      <c r="A363" s="82"/>
      <c r="B363" s="83" t="e">
        <f t="shared" si="0"/>
        <v>#REF!</v>
      </c>
      <c r="C363" s="96" t="e">
        <f t="shared" si="1"/>
        <v>#REF!</v>
      </c>
      <c r="D363" s="93"/>
      <c r="E363" s="87"/>
    </row>
    <row r="364" spans="1:5" ht="14.25" customHeight="1" x14ac:dyDescent="0.2">
      <c r="A364" s="82"/>
      <c r="B364" s="83" t="e">
        <f t="shared" si="0"/>
        <v>#REF!</v>
      </c>
      <c r="C364" s="96" t="e">
        <f t="shared" si="1"/>
        <v>#REF!</v>
      </c>
      <c r="D364" s="93"/>
      <c r="E364" s="87"/>
    </row>
    <row r="365" spans="1:5" ht="14.25" customHeight="1" x14ac:dyDescent="0.2">
      <c r="A365" s="82"/>
      <c r="B365" s="83" t="e">
        <f t="shared" si="0"/>
        <v>#REF!</v>
      </c>
      <c r="C365" s="96" t="e">
        <f t="shared" si="1"/>
        <v>#REF!</v>
      </c>
      <c r="D365" s="93"/>
      <c r="E365" s="87"/>
    </row>
    <row r="366" spans="1:5" ht="14.25" customHeight="1" x14ac:dyDescent="0.2">
      <c r="A366" s="82"/>
      <c r="B366" s="83" t="e">
        <f t="shared" si="0"/>
        <v>#REF!</v>
      </c>
      <c r="C366" s="96" t="e">
        <f t="shared" si="1"/>
        <v>#REF!</v>
      </c>
      <c r="D366" s="93"/>
      <c r="E366" s="87"/>
    </row>
    <row r="367" spans="1:5" ht="14.25" customHeight="1" x14ac:dyDescent="0.2">
      <c r="A367" s="82"/>
      <c r="B367" s="83" t="e">
        <f t="shared" si="0"/>
        <v>#REF!</v>
      </c>
      <c r="C367" s="96" t="e">
        <f t="shared" si="1"/>
        <v>#REF!</v>
      </c>
      <c r="D367" s="93"/>
      <c r="E367" s="87"/>
    </row>
    <row r="368" spans="1:5" ht="14.25" customHeight="1" x14ac:dyDescent="0.2">
      <c r="A368" s="82"/>
      <c r="B368" s="83" t="e">
        <f t="shared" si="0"/>
        <v>#REF!</v>
      </c>
      <c r="C368" s="96" t="e">
        <f t="shared" si="1"/>
        <v>#REF!</v>
      </c>
      <c r="D368" s="93"/>
      <c r="E368" s="87"/>
    </row>
    <row r="369" spans="1:11" ht="14.25" customHeight="1" x14ac:dyDescent="0.2">
      <c r="A369" s="82"/>
      <c r="B369" s="83" t="e">
        <f t="shared" si="0"/>
        <v>#REF!</v>
      </c>
      <c r="C369" s="96" t="e">
        <f t="shared" si="1"/>
        <v>#REF!</v>
      </c>
      <c r="D369" s="93"/>
      <c r="E369" s="87"/>
    </row>
    <row r="370" spans="1:11" ht="14.25" customHeight="1" x14ac:dyDescent="0.2">
      <c r="A370" s="82"/>
      <c r="B370" s="83" t="e">
        <f t="shared" si="0"/>
        <v>#REF!</v>
      </c>
      <c r="C370" s="96" t="e">
        <f t="shared" si="1"/>
        <v>#REF!</v>
      </c>
      <c r="D370" s="93"/>
      <c r="E370" s="87"/>
    </row>
    <row r="371" spans="1:11" ht="14.25" customHeight="1" x14ac:dyDescent="0.2">
      <c r="A371" s="82"/>
      <c r="B371" s="83" t="e">
        <f t="shared" si="0"/>
        <v>#REF!</v>
      </c>
      <c r="C371" s="96" t="e">
        <f t="shared" si="1"/>
        <v>#REF!</v>
      </c>
      <c r="D371" s="93"/>
      <c r="E371" s="87"/>
    </row>
    <row r="372" spans="1:11" ht="14.25" customHeight="1" x14ac:dyDescent="0.2">
      <c r="A372" s="82"/>
      <c r="B372" s="83" t="e">
        <f t="shared" si="0"/>
        <v>#REF!</v>
      </c>
      <c r="C372" s="96" t="e">
        <f t="shared" si="1"/>
        <v>#REF!</v>
      </c>
      <c r="D372" s="93"/>
      <c r="E372" s="87"/>
    </row>
    <row r="373" spans="1:11" ht="14.25" customHeight="1" x14ac:dyDescent="0.2">
      <c r="A373" s="82"/>
      <c r="B373" s="83" t="e">
        <f t="shared" si="0"/>
        <v>#REF!</v>
      </c>
      <c r="C373" s="96" t="e">
        <f t="shared" si="1"/>
        <v>#REF!</v>
      </c>
      <c r="D373" s="93"/>
      <c r="E373" s="87"/>
    </row>
    <row r="374" spans="1:11" ht="14.25" customHeight="1" x14ac:dyDescent="0.2">
      <c r="A374" s="82"/>
      <c r="B374" s="83" t="e">
        <f t="shared" si="0"/>
        <v>#REF!</v>
      </c>
      <c r="C374" s="96" t="e">
        <f t="shared" si="1"/>
        <v>#REF!</v>
      </c>
      <c r="D374" s="93"/>
      <c r="E374" s="87"/>
    </row>
    <row r="375" spans="1:11" ht="14.25" customHeight="1" x14ac:dyDescent="0.2">
      <c r="A375" s="82"/>
      <c r="B375" s="83" t="e">
        <f t="shared" si="0"/>
        <v>#REF!</v>
      </c>
      <c r="C375" s="96" t="e">
        <f t="shared" si="1"/>
        <v>#REF!</v>
      </c>
      <c r="D375" s="93"/>
      <c r="E375" s="87"/>
    </row>
    <row r="376" spans="1:11" ht="14.25" customHeight="1" x14ac:dyDescent="0.2">
      <c r="A376" s="82"/>
      <c r="B376" s="83" t="e">
        <f t="shared" si="0"/>
        <v>#REF!</v>
      </c>
      <c r="C376" s="96" t="e">
        <f t="shared" si="1"/>
        <v>#REF!</v>
      </c>
      <c r="D376" s="93"/>
      <c r="E376" s="87"/>
    </row>
    <row r="377" spans="1:11" ht="14.25" customHeight="1" x14ac:dyDescent="0.2">
      <c r="A377" s="82"/>
      <c r="B377" s="83" t="e">
        <f t="shared" si="0"/>
        <v>#REF!</v>
      </c>
      <c r="C377" s="96" t="e">
        <f t="shared" si="1"/>
        <v>#REF!</v>
      </c>
      <c r="D377" s="93"/>
      <c r="E377" s="87"/>
    </row>
    <row r="378" spans="1:11" ht="14.25" customHeight="1" x14ac:dyDescent="0.2">
      <c r="A378" s="82"/>
      <c r="B378" s="83" t="e">
        <f t="shared" si="0"/>
        <v>#REF!</v>
      </c>
      <c r="C378" s="96" t="e">
        <f t="shared" si="1"/>
        <v>#REF!</v>
      </c>
      <c r="D378" s="93"/>
      <c r="E378" s="87"/>
      <c r="K378" s="86"/>
    </row>
    <row r="379" spans="1:11" ht="14.25" customHeight="1" x14ac:dyDescent="0.2">
      <c r="A379" s="82"/>
      <c r="B379" s="83" t="e">
        <f t="shared" si="0"/>
        <v>#REF!</v>
      </c>
      <c r="C379" s="96" t="e">
        <f t="shared" si="1"/>
        <v>#REF!</v>
      </c>
      <c r="D379" s="93"/>
      <c r="E379" s="87"/>
      <c r="K379" s="86"/>
    </row>
    <row r="380" spans="1:11" ht="14.25" customHeight="1" x14ac:dyDescent="0.2">
      <c r="A380" s="82"/>
      <c r="B380" s="83" t="e">
        <f t="shared" si="0"/>
        <v>#REF!</v>
      </c>
      <c r="C380" s="96" t="e">
        <f t="shared" si="1"/>
        <v>#REF!</v>
      </c>
      <c r="D380" s="93"/>
      <c r="E380" s="87"/>
      <c r="K380" s="86"/>
    </row>
    <row r="381" spans="1:11" ht="14.25" customHeight="1" x14ac:dyDescent="0.2">
      <c r="A381" s="82"/>
      <c r="B381" s="83" t="e">
        <f t="shared" si="0"/>
        <v>#REF!</v>
      </c>
      <c r="C381" s="96" t="e">
        <f t="shared" si="1"/>
        <v>#REF!</v>
      </c>
      <c r="D381" s="93"/>
      <c r="E381" s="87"/>
    </row>
    <row r="382" spans="1:11" ht="14.25" customHeight="1" x14ac:dyDescent="0.2">
      <c r="A382" s="82"/>
      <c r="B382" s="83" t="e">
        <f t="shared" si="0"/>
        <v>#REF!</v>
      </c>
      <c r="C382" s="96" t="e">
        <f t="shared" si="1"/>
        <v>#REF!</v>
      </c>
      <c r="D382" s="93"/>
      <c r="E382" s="87"/>
    </row>
    <row r="383" spans="1:11" ht="14.25" customHeight="1" x14ac:dyDescent="0.2">
      <c r="A383" s="82"/>
      <c r="B383" s="83" t="e">
        <f t="shared" si="0"/>
        <v>#REF!</v>
      </c>
      <c r="C383" s="96" t="e">
        <f t="shared" si="1"/>
        <v>#REF!</v>
      </c>
      <c r="D383" s="93"/>
      <c r="E383" s="87"/>
    </row>
    <row r="384" spans="1:11" ht="14.25" customHeight="1" x14ac:dyDescent="0.2">
      <c r="A384" s="82"/>
      <c r="B384" s="83" t="e">
        <f t="shared" si="0"/>
        <v>#REF!</v>
      </c>
      <c r="C384" s="96" t="e">
        <f t="shared" si="1"/>
        <v>#REF!</v>
      </c>
      <c r="D384" s="93"/>
      <c r="E384" s="87"/>
    </row>
    <row r="385" spans="1:11" ht="14.25" customHeight="1" x14ac:dyDescent="0.2">
      <c r="A385" s="82"/>
      <c r="B385" s="83" t="e">
        <f t="shared" si="0"/>
        <v>#REF!</v>
      </c>
      <c r="C385" s="96" t="e">
        <f t="shared" si="1"/>
        <v>#REF!</v>
      </c>
      <c r="D385" s="93"/>
      <c r="E385" s="87"/>
    </row>
    <row r="386" spans="1:11" ht="14.25" customHeight="1" x14ac:dyDescent="0.2">
      <c r="A386" s="82"/>
      <c r="B386" s="83" t="e">
        <f t="shared" si="0"/>
        <v>#REF!</v>
      </c>
      <c r="C386" s="96" t="e">
        <f t="shared" si="1"/>
        <v>#REF!</v>
      </c>
      <c r="D386" s="93"/>
      <c r="E386" s="87"/>
    </row>
    <row r="387" spans="1:11" ht="14.25" customHeight="1" x14ac:dyDescent="0.2">
      <c r="A387" s="82"/>
      <c r="B387" s="83" t="e">
        <f t="shared" si="0"/>
        <v>#REF!</v>
      </c>
      <c r="C387" s="96" t="e">
        <f t="shared" si="1"/>
        <v>#REF!</v>
      </c>
      <c r="D387" s="93"/>
      <c r="E387" s="87"/>
    </row>
    <row r="388" spans="1:11" ht="14.25" customHeight="1" x14ac:dyDescent="0.2">
      <c r="A388" s="82"/>
      <c r="B388" s="83" t="e">
        <f t="shared" si="0"/>
        <v>#REF!</v>
      </c>
      <c r="C388" s="96" t="e">
        <f t="shared" si="1"/>
        <v>#REF!</v>
      </c>
      <c r="D388" s="93"/>
      <c r="E388" s="87"/>
    </row>
    <row r="389" spans="1:11" ht="14.25" customHeight="1" x14ac:dyDescent="0.2">
      <c r="A389" s="82"/>
      <c r="B389" s="83" t="e">
        <f t="shared" si="0"/>
        <v>#REF!</v>
      </c>
      <c r="C389" s="96" t="e">
        <f t="shared" si="1"/>
        <v>#REF!</v>
      </c>
      <c r="D389" s="93"/>
      <c r="E389" s="87"/>
    </row>
    <row r="390" spans="1:11" ht="14.25" customHeight="1" x14ac:dyDescent="0.2">
      <c r="A390" s="82"/>
      <c r="B390" s="83" t="e">
        <f t="shared" si="0"/>
        <v>#REF!</v>
      </c>
      <c r="C390" s="96" t="e">
        <f t="shared" si="1"/>
        <v>#REF!</v>
      </c>
      <c r="D390" s="93"/>
      <c r="E390" s="87"/>
    </row>
    <row r="391" spans="1:11" ht="14.25" customHeight="1" x14ac:dyDescent="0.2">
      <c r="A391" s="82"/>
      <c r="B391" s="83" t="e">
        <f t="shared" si="0"/>
        <v>#REF!</v>
      </c>
      <c r="C391" s="96" t="e">
        <f t="shared" si="1"/>
        <v>#REF!</v>
      </c>
      <c r="D391" s="93"/>
      <c r="E391" s="87"/>
    </row>
    <row r="392" spans="1:11" ht="14.25" customHeight="1" x14ac:dyDescent="0.2">
      <c r="A392" s="82"/>
      <c r="B392" s="83" t="e">
        <f t="shared" si="0"/>
        <v>#REF!</v>
      </c>
      <c r="C392" s="96" t="e">
        <f t="shared" si="1"/>
        <v>#REF!</v>
      </c>
      <c r="D392" s="93"/>
      <c r="E392" s="87"/>
    </row>
    <row r="393" spans="1:11" ht="14.25" customHeight="1" x14ac:dyDescent="0.2">
      <c r="A393" s="82"/>
      <c r="B393" s="83" t="e">
        <f t="shared" si="0"/>
        <v>#REF!</v>
      </c>
      <c r="C393" s="96" t="e">
        <f t="shared" si="1"/>
        <v>#REF!</v>
      </c>
      <c r="D393" s="93"/>
      <c r="E393" s="87"/>
    </row>
    <row r="394" spans="1:11" ht="14.25" customHeight="1" x14ac:dyDescent="0.2">
      <c r="A394" s="82"/>
      <c r="B394" s="83" t="e">
        <f t="shared" si="0"/>
        <v>#REF!</v>
      </c>
      <c r="C394" s="96" t="e">
        <f t="shared" si="1"/>
        <v>#REF!</v>
      </c>
      <c r="D394" s="93"/>
      <c r="E394" s="87"/>
    </row>
    <row r="395" spans="1:11" ht="14.25" customHeight="1" x14ac:dyDescent="0.2">
      <c r="A395" s="82"/>
      <c r="B395" s="83" t="e">
        <f t="shared" si="0"/>
        <v>#REF!</v>
      </c>
      <c r="C395" s="96" t="e">
        <f t="shared" si="1"/>
        <v>#REF!</v>
      </c>
      <c r="D395" s="93"/>
      <c r="E395" s="87"/>
    </row>
    <row r="396" spans="1:11" ht="14.25" customHeight="1" x14ac:dyDescent="0.2">
      <c r="A396" s="82"/>
      <c r="B396" s="83" t="e">
        <f t="shared" si="0"/>
        <v>#REF!</v>
      </c>
      <c r="C396" s="96" t="e">
        <f t="shared" si="1"/>
        <v>#REF!</v>
      </c>
      <c r="D396" s="93"/>
      <c r="E396" s="87"/>
    </row>
    <row r="397" spans="1:11" ht="14.25" customHeight="1" x14ac:dyDescent="0.2">
      <c r="A397" s="82"/>
      <c r="B397" s="83" t="e">
        <f t="shared" si="0"/>
        <v>#REF!</v>
      </c>
      <c r="C397" s="96" t="e">
        <f t="shared" si="1"/>
        <v>#REF!</v>
      </c>
      <c r="D397" s="93"/>
      <c r="E397" s="87"/>
      <c r="K397" s="86"/>
    </row>
    <row r="398" spans="1:11" ht="14.25" customHeight="1" x14ac:dyDescent="0.2">
      <c r="A398" s="82"/>
      <c r="B398" s="83" t="e">
        <f t="shared" si="0"/>
        <v>#REF!</v>
      </c>
      <c r="C398" s="96" t="e">
        <f t="shared" si="1"/>
        <v>#REF!</v>
      </c>
      <c r="D398" s="93"/>
      <c r="E398" s="87"/>
    </row>
    <row r="399" spans="1:11" ht="14.25" customHeight="1" x14ac:dyDescent="0.2">
      <c r="A399" s="82"/>
      <c r="B399" s="83" t="e">
        <f t="shared" si="0"/>
        <v>#REF!</v>
      </c>
      <c r="C399" s="96" t="e">
        <f t="shared" si="1"/>
        <v>#REF!</v>
      </c>
      <c r="D399" s="93"/>
      <c r="E399" s="87"/>
    </row>
    <row r="400" spans="1:11" ht="14.25" customHeight="1" x14ac:dyDescent="0.2">
      <c r="A400" s="82"/>
      <c r="B400" s="83" t="e">
        <f t="shared" si="0"/>
        <v>#REF!</v>
      </c>
      <c r="C400" s="96" t="e">
        <f t="shared" si="1"/>
        <v>#REF!</v>
      </c>
      <c r="D400" s="93"/>
      <c r="E400" s="87"/>
    </row>
    <row r="401" spans="1:5" ht="14.25" customHeight="1" x14ac:dyDescent="0.2">
      <c r="A401" s="82"/>
      <c r="B401" s="83" t="e">
        <f t="shared" si="0"/>
        <v>#REF!</v>
      </c>
      <c r="C401" s="96" t="e">
        <f t="shared" si="1"/>
        <v>#REF!</v>
      </c>
      <c r="D401" s="93"/>
      <c r="E401" s="87"/>
    </row>
    <row r="402" spans="1:5" ht="14.25" customHeight="1" x14ac:dyDescent="0.2">
      <c r="A402" s="82"/>
      <c r="B402" s="83" t="e">
        <f t="shared" si="0"/>
        <v>#REF!</v>
      </c>
      <c r="C402" s="96" t="e">
        <f t="shared" si="1"/>
        <v>#REF!</v>
      </c>
      <c r="D402" s="93"/>
      <c r="E402" s="87"/>
    </row>
    <row r="403" spans="1:5" ht="14.25" customHeight="1" x14ac:dyDescent="0.2">
      <c r="A403" s="82"/>
      <c r="B403" s="83" t="e">
        <f t="shared" si="0"/>
        <v>#REF!</v>
      </c>
      <c r="C403" s="96" t="e">
        <f t="shared" si="1"/>
        <v>#REF!</v>
      </c>
      <c r="D403" s="93"/>
      <c r="E403" s="87"/>
    </row>
    <row r="404" spans="1:5" ht="14.25" customHeight="1" x14ac:dyDescent="0.2">
      <c r="A404" s="82"/>
      <c r="B404" s="83" t="e">
        <f t="shared" si="0"/>
        <v>#REF!</v>
      </c>
      <c r="C404" s="96" t="e">
        <f t="shared" si="1"/>
        <v>#REF!</v>
      </c>
      <c r="D404" s="93"/>
      <c r="E404" s="87"/>
    </row>
    <row r="405" spans="1:5" ht="14.25" customHeight="1" x14ac:dyDescent="0.2">
      <c r="A405" s="82"/>
      <c r="B405" s="83" t="e">
        <f t="shared" si="0"/>
        <v>#REF!</v>
      </c>
      <c r="C405" s="96" t="e">
        <f t="shared" si="1"/>
        <v>#REF!</v>
      </c>
      <c r="D405" s="93"/>
      <c r="E405" s="87"/>
    </row>
    <row r="406" spans="1:5" ht="14.25" customHeight="1" x14ac:dyDescent="0.2">
      <c r="A406" s="82"/>
      <c r="B406" s="83" t="e">
        <f t="shared" si="0"/>
        <v>#REF!</v>
      </c>
      <c r="C406" s="96" t="e">
        <f t="shared" si="1"/>
        <v>#REF!</v>
      </c>
      <c r="D406" s="93"/>
      <c r="E406" s="87"/>
    </row>
    <row r="407" spans="1:5" ht="14.25" customHeight="1" x14ac:dyDescent="0.2">
      <c r="A407" s="82"/>
      <c r="B407" s="83" t="e">
        <f t="shared" si="0"/>
        <v>#REF!</v>
      </c>
      <c r="C407" s="96" t="e">
        <f t="shared" si="1"/>
        <v>#REF!</v>
      </c>
      <c r="D407" s="93"/>
      <c r="E407" s="87"/>
    </row>
    <row r="408" spans="1:5" ht="14.25" customHeight="1" x14ac:dyDescent="0.2">
      <c r="A408" s="82"/>
      <c r="B408" s="83" t="e">
        <f t="shared" si="0"/>
        <v>#REF!</v>
      </c>
      <c r="C408" s="96" t="e">
        <f t="shared" si="1"/>
        <v>#REF!</v>
      </c>
      <c r="D408" s="93"/>
      <c r="E408" s="87"/>
    </row>
    <row r="409" spans="1:5" ht="14.25" customHeight="1" x14ac:dyDescent="0.2">
      <c r="A409" s="82"/>
      <c r="B409" s="83" t="e">
        <f t="shared" si="0"/>
        <v>#REF!</v>
      </c>
      <c r="C409" s="96" t="e">
        <f t="shared" si="1"/>
        <v>#REF!</v>
      </c>
      <c r="D409" s="93"/>
      <c r="E409" s="87"/>
    </row>
    <row r="410" spans="1:5" ht="14.25" customHeight="1" x14ac:dyDescent="0.2">
      <c r="A410" s="82"/>
      <c r="B410" s="83" t="e">
        <f t="shared" si="0"/>
        <v>#REF!</v>
      </c>
      <c r="C410" s="96" t="e">
        <f t="shared" si="1"/>
        <v>#REF!</v>
      </c>
      <c r="D410" s="93"/>
      <c r="E410" s="87"/>
    </row>
    <row r="411" spans="1:5" ht="14.25" customHeight="1" x14ac:dyDescent="0.2">
      <c r="A411" s="82"/>
      <c r="B411" s="83" t="e">
        <f t="shared" si="0"/>
        <v>#REF!</v>
      </c>
      <c r="C411" s="96" t="e">
        <f t="shared" si="1"/>
        <v>#REF!</v>
      </c>
      <c r="D411" s="93"/>
      <c r="E411" s="87"/>
    </row>
    <row r="412" spans="1:5" ht="14.25" customHeight="1" x14ac:dyDescent="0.2">
      <c r="A412" s="82"/>
      <c r="B412" s="83" t="e">
        <f t="shared" si="0"/>
        <v>#REF!</v>
      </c>
      <c r="C412" s="96" t="e">
        <f t="shared" si="1"/>
        <v>#REF!</v>
      </c>
      <c r="D412" s="93"/>
      <c r="E412" s="87"/>
    </row>
    <row r="413" spans="1:5" ht="14.25" customHeight="1" x14ac:dyDescent="0.2">
      <c r="A413" s="82"/>
      <c r="B413" s="83" t="e">
        <f t="shared" si="0"/>
        <v>#REF!</v>
      </c>
      <c r="C413" s="96" t="e">
        <f t="shared" si="1"/>
        <v>#REF!</v>
      </c>
      <c r="D413" s="93"/>
      <c r="E413" s="87"/>
    </row>
    <row r="414" spans="1:5" ht="14.25" customHeight="1" x14ac:dyDescent="0.2">
      <c r="A414" s="82"/>
      <c r="B414" s="83" t="e">
        <f t="shared" si="0"/>
        <v>#REF!</v>
      </c>
      <c r="C414" s="96" t="e">
        <f t="shared" si="1"/>
        <v>#REF!</v>
      </c>
      <c r="D414" s="93"/>
      <c r="E414" s="87"/>
    </row>
    <row r="415" spans="1:5" ht="14.25" customHeight="1" x14ac:dyDescent="0.2">
      <c r="A415" s="82"/>
      <c r="B415" s="83" t="e">
        <f t="shared" si="0"/>
        <v>#REF!</v>
      </c>
      <c r="C415" s="96" t="e">
        <f t="shared" si="1"/>
        <v>#REF!</v>
      </c>
      <c r="D415" s="93"/>
      <c r="E415" s="87"/>
    </row>
    <row r="416" spans="1:5" ht="14.25" customHeight="1" x14ac:dyDescent="0.2">
      <c r="A416" s="82"/>
      <c r="B416" s="83" t="e">
        <f t="shared" si="0"/>
        <v>#REF!</v>
      </c>
      <c r="C416" s="96" t="e">
        <f t="shared" si="1"/>
        <v>#REF!</v>
      </c>
      <c r="D416" s="93"/>
      <c r="E416" s="87"/>
    </row>
    <row r="417" spans="1:5" ht="14.25" customHeight="1" x14ac:dyDescent="0.2">
      <c r="A417" s="82"/>
      <c r="B417" s="83" t="e">
        <f t="shared" si="0"/>
        <v>#REF!</v>
      </c>
      <c r="C417" s="96" t="e">
        <f t="shared" si="1"/>
        <v>#REF!</v>
      </c>
      <c r="D417" s="93"/>
      <c r="E417" s="87"/>
    </row>
    <row r="418" spans="1:5" ht="14.25" customHeight="1" x14ac:dyDescent="0.2">
      <c r="A418" s="82"/>
      <c r="B418" s="83" t="e">
        <f t="shared" si="0"/>
        <v>#REF!</v>
      </c>
      <c r="C418" s="96" t="e">
        <f t="shared" si="1"/>
        <v>#REF!</v>
      </c>
      <c r="D418" s="93"/>
      <c r="E418" s="87"/>
    </row>
    <row r="419" spans="1:5" ht="14.25" customHeight="1" x14ac:dyDescent="0.2">
      <c r="A419" s="82"/>
      <c r="B419" s="83" t="e">
        <f t="shared" si="0"/>
        <v>#REF!</v>
      </c>
      <c r="C419" s="96" t="e">
        <f t="shared" si="1"/>
        <v>#REF!</v>
      </c>
      <c r="D419" s="93"/>
      <c r="E419" s="87"/>
    </row>
    <row r="420" spans="1:5" ht="14.25" customHeight="1" x14ac:dyDescent="0.2">
      <c r="A420" s="82"/>
      <c r="B420" s="83" t="e">
        <f t="shared" si="0"/>
        <v>#REF!</v>
      </c>
      <c r="C420" s="96" t="e">
        <f t="shared" si="1"/>
        <v>#REF!</v>
      </c>
      <c r="D420" s="93"/>
      <c r="E420" s="87"/>
    </row>
    <row r="421" spans="1:5" ht="14.25" customHeight="1" x14ac:dyDescent="0.2">
      <c r="A421" s="82"/>
      <c r="B421" s="83" t="e">
        <f t="shared" si="0"/>
        <v>#REF!</v>
      </c>
      <c r="C421" s="96" t="e">
        <f t="shared" si="1"/>
        <v>#REF!</v>
      </c>
      <c r="D421" s="93"/>
      <c r="E421" s="87"/>
    </row>
    <row r="422" spans="1:5" ht="14.25" customHeight="1" x14ac:dyDescent="0.2">
      <c r="A422" s="82"/>
      <c r="B422" s="83" t="e">
        <f t="shared" si="0"/>
        <v>#REF!</v>
      </c>
      <c r="C422" s="96" t="e">
        <f t="shared" si="1"/>
        <v>#REF!</v>
      </c>
      <c r="D422" s="93"/>
      <c r="E422" s="87"/>
    </row>
    <row r="423" spans="1:5" ht="14.25" customHeight="1" x14ac:dyDescent="0.2">
      <c r="A423" s="82"/>
      <c r="B423" s="83" t="e">
        <f t="shared" si="0"/>
        <v>#REF!</v>
      </c>
      <c r="C423" s="96" t="e">
        <f t="shared" si="1"/>
        <v>#REF!</v>
      </c>
      <c r="D423" s="93"/>
      <c r="E423" s="87"/>
    </row>
    <row r="424" spans="1:5" ht="14.25" customHeight="1" x14ac:dyDescent="0.2">
      <c r="A424" s="82"/>
      <c r="B424" s="83" t="e">
        <f t="shared" si="0"/>
        <v>#REF!</v>
      </c>
      <c r="C424" s="96" t="e">
        <f t="shared" si="1"/>
        <v>#REF!</v>
      </c>
      <c r="D424" s="93"/>
      <c r="E424" s="87"/>
    </row>
    <row r="425" spans="1:5" ht="14.25" customHeight="1" x14ac:dyDescent="0.2">
      <c r="A425" s="82"/>
      <c r="B425" s="83" t="e">
        <f t="shared" si="0"/>
        <v>#REF!</v>
      </c>
      <c r="C425" s="96" t="e">
        <f t="shared" si="1"/>
        <v>#REF!</v>
      </c>
      <c r="D425" s="93"/>
      <c r="E425" s="87"/>
    </row>
    <row r="426" spans="1:5" ht="14.25" customHeight="1" x14ac:dyDescent="0.2">
      <c r="A426" s="82"/>
      <c r="B426" s="83" t="e">
        <f t="shared" si="0"/>
        <v>#REF!</v>
      </c>
      <c r="C426" s="96" t="e">
        <f t="shared" si="1"/>
        <v>#REF!</v>
      </c>
      <c r="D426" s="93"/>
      <c r="E426" s="87"/>
    </row>
    <row r="427" spans="1:5" ht="14.25" customHeight="1" x14ac:dyDescent="0.2">
      <c r="A427" s="82"/>
      <c r="B427" s="83" t="e">
        <f t="shared" si="0"/>
        <v>#REF!</v>
      </c>
      <c r="C427" s="96" t="e">
        <f t="shared" si="1"/>
        <v>#REF!</v>
      </c>
      <c r="D427" s="93"/>
      <c r="E427" s="87"/>
    </row>
    <row r="428" spans="1:5" ht="14.25" customHeight="1" x14ac:dyDescent="0.2">
      <c r="A428" s="82"/>
      <c r="B428" s="83" t="e">
        <f t="shared" si="0"/>
        <v>#REF!</v>
      </c>
      <c r="C428" s="96" t="e">
        <f t="shared" si="1"/>
        <v>#REF!</v>
      </c>
      <c r="D428" s="93"/>
      <c r="E428" s="87"/>
    </row>
    <row r="429" spans="1:5" ht="14.25" customHeight="1" x14ac:dyDescent="0.2">
      <c r="A429" s="82"/>
      <c r="B429" s="83" t="e">
        <f t="shared" si="0"/>
        <v>#REF!</v>
      </c>
      <c r="C429" s="96" t="e">
        <f t="shared" si="1"/>
        <v>#REF!</v>
      </c>
      <c r="D429" s="93"/>
      <c r="E429" s="87"/>
    </row>
    <row r="430" spans="1:5" ht="14.25" customHeight="1" x14ac:dyDescent="0.2">
      <c r="A430" s="82"/>
      <c r="B430" s="83" t="e">
        <f t="shared" si="0"/>
        <v>#REF!</v>
      </c>
      <c r="C430" s="96" t="e">
        <f t="shared" si="1"/>
        <v>#REF!</v>
      </c>
      <c r="D430" s="93"/>
      <c r="E430" s="87"/>
    </row>
    <row r="431" spans="1:5" ht="14.25" customHeight="1" x14ac:dyDescent="0.2">
      <c r="A431" s="82"/>
      <c r="B431" s="83" t="e">
        <f t="shared" si="0"/>
        <v>#REF!</v>
      </c>
      <c r="C431" s="96" t="e">
        <f t="shared" si="1"/>
        <v>#REF!</v>
      </c>
      <c r="D431" s="93"/>
      <c r="E431" s="87"/>
    </row>
    <row r="432" spans="1:5" ht="14.25" customHeight="1" x14ac:dyDescent="0.2">
      <c r="A432" s="82"/>
      <c r="B432" s="83" t="e">
        <f t="shared" si="0"/>
        <v>#REF!</v>
      </c>
      <c r="C432" s="96" t="e">
        <f t="shared" si="1"/>
        <v>#REF!</v>
      </c>
      <c r="D432" s="93"/>
      <c r="E432" s="87"/>
    </row>
    <row r="433" spans="1:5" ht="14.25" customHeight="1" x14ac:dyDescent="0.2">
      <c r="A433" s="82"/>
      <c r="B433" s="83" t="e">
        <f t="shared" si="0"/>
        <v>#REF!</v>
      </c>
      <c r="C433" s="96" t="e">
        <f t="shared" si="1"/>
        <v>#REF!</v>
      </c>
      <c r="D433" s="93"/>
      <c r="E433" s="87"/>
    </row>
    <row r="434" spans="1:5" ht="14.25" customHeight="1" x14ac:dyDescent="0.2">
      <c r="A434" s="82"/>
      <c r="B434" s="83" t="e">
        <f t="shared" si="0"/>
        <v>#REF!</v>
      </c>
      <c r="C434" s="96" t="e">
        <f t="shared" si="1"/>
        <v>#REF!</v>
      </c>
      <c r="D434" s="93"/>
      <c r="E434" s="87"/>
    </row>
    <row r="435" spans="1:5" ht="14.25" customHeight="1" x14ac:dyDescent="0.2">
      <c r="A435" s="82"/>
      <c r="B435" s="83" t="e">
        <f t="shared" si="0"/>
        <v>#REF!</v>
      </c>
      <c r="C435" s="96" t="e">
        <f t="shared" si="1"/>
        <v>#REF!</v>
      </c>
      <c r="D435" s="93"/>
      <c r="E435" s="87"/>
    </row>
    <row r="436" spans="1:5" ht="14.25" customHeight="1" x14ac:dyDescent="0.2">
      <c r="A436" s="82"/>
      <c r="B436" s="83" t="e">
        <f t="shared" si="0"/>
        <v>#REF!</v>
      </c>
      <c r="C436" s="96" t="e">
        <f t="shared" si="1"/>
        <v>#REF!</v>
      </c>
      <c r="D436" s="93"/>
      <c r="E436" s="87"/>
    </row>
    <row r="437" spans="1:5" ht="14.25" customHeight="1" x14ac:dyDescent="0.2">
      <c r="A437" s="82"/>
      <c r="B437" s="83" t="e">
        <f t="shared" si="0"/>
        <v>#REF!</v>
      </c>
      <c r="C437" s="96" t="e">
        <f t="shared" si="1"/>
        <v>#REF!</v>
      </c>
      <c r="D437" s="93"/>
      <c r="E437" s="87"/>
    </row>
    <row r="438" spans="1:5" ht="14.25" customHeight="1" x14ac:dyDescent="0.2">
      <c r="A438" s="82"/>
      <c r="B438" s="83" t="e">
        <f t="shared" si="0"/>
        <v>#REF!</v>
      </c>
      <c r="C438" s="96" t="e">
        <f t="shared" si="1"/>
        <v>#REF!</v>
      </c>
      <c r="D438" s="93"/>
      <c r="E438" s="87"/>
    </row>
    <row r="439" spans="1:5" ht="14.25" customHeight="1" x14ac:dyDescent="0.2">
      <c r="A439" s="82"/>
      <c r="B439" s="83" t="e">
        <f t="shared" si="0"/>
        <v>#REF!</v>
      </c>
      <c r="C439" s="96" t="e">
        <f t="shared" si="1"/>
        <v>#REF!</v>
      </c>
      <c r="D439" s="93"/>
      <c r="E439" s="87"/>
    </row>
    <row r="440" spans="1:5" ht="14.25" customHeight="1" x14ac:dyDescent="0.2">
      <c r="A440" s="82"/>
      <c r="B440" s="83" t="e">
        <f t="shared" si="0"/>
        <v>#REF!</v>
      </c>
      <c r="C440" s="96" t="e">
        <f t="shared" si="1"/>
        <v>#REF!</v>
      </c>
      <c r="D440" s="93"/>
      <c r="E440" s="87"/>
    </row>
    <row r="441" spans="1:5" ht="14.25" customHeight="1" x14ac:dyDescent="0.2">
      <c r="A441" s="82"/>
      <c r="B441" s="83" t="e">
        <f t="shared" si="0"/>
        <v>#REF!</v>
      </c>
      <c r="C441" s="96" t="e">
        <f t="shared" si="1"/>
        <v>#REF!</v>
      </c>
      <c r="D441" s="93"/>
      <c r="E441" s="87"/>
    </row>
    <row r="442" spans="1:5" ht="14.25" customHeight="1" x14ac:dyDescent="0.2">
      <c r="A442" s="82"/>
      <c r="B442" s="83" t="e">
        <f t="shared" si="0"/>
        <v>#REF!</v>
      </c>
      <c r="C442" s="96" t="e">
        <f t="shared" si="1"/>
        <v>#REF!</v>
      </c>
      <c r="D442" s="93"/>
      <c r="E442" s="87"/>
    </row>
    <row r="443" spans="1:5" ht="14.25" customHeight="1" x14ac:dyDescent="0.2">
      <c r="A443" s="82"/>
      <c r="B443" s="83" t="e">
        <f t="shared" si="0"/>
        <v>#REF!</v>
      </c>
      <c r="C443" s="96" t="e">
        <f t="shared" si="1"/>
        <v>#REF!</v>
      </c>
      <c r="D443" s="93"/>
      <c r="E443" s="87"/>
    </row>
    <row r="444" spans="1:5" ht="14.25" customHeight="1" x14ac:dyDescent="0.2">
      <c r="A444" s="82"/>
      <c r="B444" s="83" t="e">
        <f t="shared" si="0"/>
        <v>#REF!</v>
      </c>
      <c r="C444" s="96" t="e">
        <f t="shared" si="1"/>
        <v>#REF!</v>
      </c>
      <c r="D444" s="93"/>
      <c r="E444" s="87"/>
    </row>
    <row r="445" spans="1:5" ht="14.25" customHeight="1" x14ac:dyDescent="0.2">
      <c r="A445" s="82"/>
      <c r="B445" s="83" t="e">
        <f t="shared" si="0"/>
        <v>#REF!</v>
      </c>
      <c r="C445" s="96" t="e">
        <f t="shared" si="1"/>
        <v>#REF!</v>
      </c>
      <c r="D445" s="93"/>
      <c r="E445" s="87"/>
    </row>
    <row r="446" spans="1:5" ht="14.25" customHeight="1" x14ac:dyDescent="0.2">
      <c r="A446" s="82"/>
      <c r="B446" s="83" t="e">
        <f t="shared" si="0"/>
        <v>#REF!</v>
      </c>
      <c r="C446" s="96" t="e">
        <f t="shared" si="1"/>
        <v>#REF!</v>
      </c>
      <c r="D446" s="93"/>
      <c r="E446" s="87"/>
    </row>
    <row r="447" spans="1:5" ht="14.25" customHeight="1" x14ac:dyDescent="0.2">
      <c r="A447" s="82"/>
      <c r="B447" s="83" t="e">
        <f t="shared" si="0"/>
        <v>#REF!</v>
      </c>
      <c r="C447" s="96" t="e">
        <f t="shared" si="1"/>
        <v>#REF!</v>
      </c>
      <c r="D447" s="93"/>
      <c r="E447" s="87"/>
    </row>
    <row r="448" spans="1:5" ht="14.25" customHeight="1" x14ac:dyDescent="0.2">
      <c r="A448" s="82"/>
      <c r="B448" s="83" t="e">
        <f t="shared" si="0"/>
        <v>#REF!</v>
      </c>
      <c r="C448" s="96" t="e">
        <f t="shared" si="1"/>
        <v>#REF!</v>
      </c>
      <c r="D448" s="93"/>
      <c r="E448" s="87"/>
    </row>
    <row r="449" spans="1:5" ht="14.25" customHeight="1" x14ac:dyDescent="0.2">
      <c r="A449" s="82"/>
      <c r="B449" s="83" t="e">
        <f t="shared" si="0"/>
        <v>#REF!</v>
      </c>
      <c r="C449" s="96" t="e">
        <f t="shared" si="1"/>
        <v>#REF!</v>
      </c>
      <c r="D449" s="93"/>
      <c r="E449" s="87"/>
    </row>
    <row r="450" spans="1:5" ht="14.25" customHeight="1" x14ac:dyDescent="0.2">
      <c r="A450" s="82"/>
      <c r="B450" s="83" t="e">
        <f t="shared" si="0"/>
        <v>#REF!</v>
      </c>
      <c r="C450" s="96" t="e">
        <f t="shared" si="1"/>
        <v>#REF!</v>
      </c>
      <c r="D450" s="93"/>
      <c r="E450" s="87"/>
    </row>
    <row r="451" spans="1:5" ht="14.25" customHeight="1" x14ac:dyDescent="0.2">
      <c r="A451" s="82"/>
      <c r="B451" s="83" t="e">
        <f t="shared" si="0"/>
        <v>#REF!</v>
      </c>
      <c r="C451" s="96" t="e">
        <f t="shared" si="1"/>
        <v>#REF!</v>
      </c>
      <c r="D451" s="93"/>
      <c r="E451" s="87"/>
    </row>
    <row r="452" spans="1:5" ht="14.25" customHeight="1" x14ac:dyDescent="0.2">
      <c r="A452" s="82"/>
      <c r="B452" s="83" t="e">
        <f t="shared" si="0"/>
        <v>#REF!</v>
      </c>
      <c r="C452" s="96" t="e">
        <f t="shared" si="1"/>
        <v>#REF!</v>
      </c>
      <c r="D452" s="93"/>
      <c r="E452" s="87"/>
    </row>
    <row r="453" spans="1:5" ht="14.25" customHeight="1" x14ac:dyDescent="0.2">
      <c r="A453" s="82"/>
      <c r="B453" s="83" t="e">
        <f t="shared" si="0"/>
        <v>#REF!</v>
      </c>
      <c r="C453" s="96" t="e">
        <f t="shared" si="1"/>
        <v>#REF!</v>
      </c>
      <c r="D453" s="93"/>
      <c r="E453" s="87"/>
    </row>
    <row r="454" spans="1:5" ht="14.25" customHeight="1" x14ac:dyDescent="0.2">
      <c r="A454" s="82"/>
      <c r="B454" s="83" t="e">
        <f t="shared" si="0"/>
        <v>#REF!</v>
      </c>
      <c r="C454" s="96" t="e">
        <f t="shared" si="1"/>
        <v>#REF!</v>
      </c>
      <c r="D454" s="93"/>
      <c r="E454" s="87"/>
    </row>
    <row r="455" spans="1:5" ht="14.25" customHeight="1" x14ac:dyDescent="0.2">
      <c r="A455" s="82"/>
      <c r="B455" s="83" t="e">
        <f t="shared" si="0"/>
        <v>#REF!</v>
      </c>
      <c r="C455" s="96" t="e">
        <f t="shared" si="1"/>
        <v>#REF!</v>
      </c>
      <c r="D455" s="93"/>
      <c r="E455" s="87"/>
    </row>
    <row r="456" spans="1:5" ht="14.25" customHeight="1" x14ac:dyDescent="0.2">
      <c r="A456" s="82"/>
      <c r="B456" s="83" t="e">
        <f t="shared" si="0"/>
        <v>#REF!</v>
      </c>
      <c r="C456" s="96" t="e">
        <f t="shared" si="1"/>
        <v>#REF!</v>
      </c>
      <c r="D456" s="93"/>
      <c r="E456" s="87"/>
    </row>
    <row r="457" spans="1:5" ht="14.25" customHeight="1" x14ac:dyDescent="0.2">
      <c r="A457" s="82"/>
      <c r="B457" s="83" t="e">
        <f t="shared" si="0"/>
        <v>#REF!</v>
      </c>
      <c r="C457" s="96" t="e">
        <f t="shared" si="1"/>
        <v>#REF!</v>
      </c>
      <c r="D457" s="93"/>
      <c r="E457" s="87"/>
    </row>
    <row r="458" spans="1:5" ht="14.25" customHeight="1" x14ac:dyDescent="0.2">
      <c r="A458" s="82"/>
      <c r="B458" s="83" t="e">
        <f t="shared" si="0"/>
        <v>#REF!</v>
      </c>
      <c r="C458" s="96" t="e">
        <f t="shared" si="1"/>
        <v>#REF!</v>
      </c>
      <c r="D458" s="93"/>
      <c r="E458" s="87"/>
    </row>
    <row r="459" spans="1:5" ht="14.25" customHeight="1" x14ac:dyDescent="0.2">
      <c r="A459" s="82"/>
      <c r="B459" s="83" t="e">
        <f t="shared" ref="B459:B713" si="2">IF(H459="credit",#REF!, (#REF!* -1))</f>
        <v>#REF!</v>
      </c>
      <c r="C459" s="96" t="e">
        <f t="shared" ref="C459:C713" si="3">C458+B459</f>
        <v>#REF!</v>
      </c>
      <c r="D459" s="93"/>
      <c r="E459" s="87"/>
    </row>
    <row r="460" spans="1:5" ht="14.25" customHeight="1" x14ac:dyDescent="0.2">
      <c r="A460" s="82"/>
      <c r="B460" s="83" t="e">
        <f t="shared" si="2"/>
        <v>#REF!</v>
      </c>
      <c r="C460" s="96" t="e">
        <f t="shared" si="3"/>
        <v>#REF!</v>
      </c>
      <c r="E460" s="87"/>
    </row>
    <row r="461" spans="1:5" ht="14.25" customHeight="1" x14ac:dyDescent="0.2">
      <c r="A461" s="82"/>
      <c r="B461" s="83" t="e">
        <f t="shared" si="2"/>
        <v>#REF!</v>
      </c>
      <c r="C461" s="96" t="e">
        <f t="shared" si="3"/>
        <v>#REF!</v>
      </c>
      <c r="E461" s="87"/>
    </row>
    <row r="462" spans="1:5" ht="14.25" customHeight="1" x14ac:dyDescent="0.2">
      <c r="A462" s="82"/>
      <c r="B462" s="83" t="e">
        <f t="shared" si="2"/>
        <v>#REF!</v>
      </c>
      <c r="C462" s="96" t="e">
        <f t="shared" si="3"/>
        <v>#REF!</v>
      </c>
      <c r="E462" s="87"/>
    </row>
    <row r="463" spans="1:5" ht="14.25" customHeight="1" x14ac:dyDescent="0.2">
      <c r="A463" s="82"/>
      <c r="B463" s="83" t="e">
        <f t="shared" si="2"/>
        <v>#REF!</v>
      </c>
      <c r="C463" s="96" t="e">
        <f t="shared" si="3"/>
        <v>#REF!</v>
      </c>
      <c r="E463" s="87"/>
    </row>
    <row r="464" spans="1:5" ht="14.25" customHeight="1" x14ac:dyDescent="0.2">
      <c r="A464" s="82"/>
      <c r="B464" s="83" t="e">
        <f t="shared" si="2"/>
        <v>#REF!</v>
      </c>
      <c r="C464" s="96" t="e">
        <f t="shared" si="3"/>
        <v>#REF!</v>
      </c>
      <c r="E464" s="87"/>
    </row>
    <row r="465" spans="1:5" ht="14.25" customHeight="1" x14ac:dyDescent="0.2">
      <c r="A465" s="82"/>
      <c r="B465" s="83" t="e">
        <f t="shared" si="2"/>
        <v>#REF!</v>
      </c>
      <c r="C465" s="96" t="e">
        <f t="shared" si="3"/>
        <v>#REF!</v>
      </c>
      <c r="E465" s="87"/>
    </row>
    <row r="466" spans="1:5" ht="14.25" customHeight="1" x14ac:dyDescent="0.2">
      <c r="A466" s="82"/>
      <c r="B466" s="83" t="e">
        <f t="shared" si="2"/>
        <v>#REF!</v>
      </c>
      <c r="C466" s="96" t="e">
        <f t="shared" si="3"/>
        <v>#REF!</v>
      </c>
      <c r="E466" s="87"/>
    </row>
    <row r="467" spans="1:5" ht="14.25" customHeight="1" x14ac:dyDescent="0.2">
      <c r="A467" s="82"/>
      <c r="B467" s="83" t="e">
        <f t="shared" si="2"/>
        <v>#REF!</v>
      </c>
      <c r="C467" s="96" t="e">
        <f t="shared" si="3"/>
        <v>#REF!</v>
      </c>
      <c r="E467" s="87"/>
    </row>
    <row r="468" spans="1:5" ht="14.25" customHeight="1" x14ac:dyDescent="0.2">
      <c r="A468" s="82"/>
      <c r="B468" s="83" t="e">
        <f t="shared" si="2"/>
        <v>#REF!</v>
      </c>
      <c r="C468" s="96" t="e">
        <f t="shared" si="3"/>
        <v>#REF!</v>
      </c>
      <c r="E468" s="87"/>
    </row>
    <row r="469" spans="1:5" ht="14.25" customHeight="1" x14ac:dyDescent="0.2">
      <c r="A469" s="82"/>
      <c r="B469" s="83" t="e">
        <f t="shared" si="2"/>
        <v>#REF!</v>
      </c>
      <c r="C469" s="96" t="e">
        <f t="shared" si="3"/>
        <v>#REF!</v>
      </c>
      <c r="E469" s="87"/>
    </row>
    <row r="470" spans="1:5" ht="14.25" customHeight="1" x14ac:dyDescent="0.2">
      <c r="A470" s="82"/>
      <c r="B470" s="83" t="e">
        <f t="shared" si="2"/>
        <v>#REF!</v>
      </c>
      <c r="C470" s="96" t="e">
        <f t="shared" si="3"/>
        <v>#REF!</v>
      </c>
      <c r="E470" s="87"/>
    </row>
    <row r="471" spans="1:5" ht="14.25" customHeight="1" x14ac:dyDescent="0.2">
      <c r="A471" s="82"/>
      <c r="B471" s="83" t="e">
        <f t="shared" si="2"/>
        <v>#REF!</v>
      </c>
      <c r="C471" s="96" t="e">
        <f t="shared" si="3"/>
        <v>#REF!</v>
      </c>
      <c r="E471" s="87"/>
    </row>
    <row r="472" spans="1:5" ht="14.25" customHeight="1" x14ac:dyDescent="0.2">
      <c r="A472" s="82"/>
      <c r="B472" s="83" t="e">
        <f t="shared" si="2"/>
        <v>#REF!</v>
      </c>
      <c r="C472" s="96" t="e">
        <f t="shared" si="3"/>
        <v>#REF!</v>
      </c>
      <c r="E472" s="87"/>
    </row>
    <row r="473" spans="1:5" ht="14.25" customHeight="1" x14ac:dyDescent="0.2">
      <c r="A473" s="82"/>
      <c r="B473" s="83" t="e">
        <f t="shared" si="2"/>
        <v>#REF!</v>
      </c>
      <c r="C473" s="96" t="e">
        <f t="shared" si="3"/>
        <v>#REF!</v>
      </c>
      <c r="E473" s="87"/>
    </row>
    <row r="474" spans="1:5" ht="14.25" customHeight="1" x14ac:dyDescent="0.2">
      <c r="A474" s="82"/>
      <c r="B474" s="83" t="e">
        <f t="shared" si="2"/>
        <v>#REF!</v>
      </c>
      <c r="C474" s="96" t="e">
        <f t="shared" si="3"/>
        <v>#REF!</v>
      </c>
      <c r="E474" s="87"/>
    </row>
    <row r="475" spans="1:5" ht="14.25" customHeight="1" x14ac:dyDescent="0.2">
      <c r="A475" s="82"/>
      <c r="B475" s="83" t="e">
        <f t="shared" si="2"/>
        <v>#REF!</v>
      </c>
      <c r="C475" s="96" t="e">
        <f t="shared" si="3"/>
        <v>#REF!</v>
      </c>
      <c r="E475" s="87"/>
    </row>
    <row r="476" spans="1:5" ht="14.25" customHeight="1" x14ac:dyDescent="0.2">
      <c r="A476" s="82"/>
      <c r="B476" s="83" t="e">
        <f t="shared" si="2"/>
        <v>#REF!</v>
      </c>
      <c r="C476" s="96" t="e">
        <f t="shared" si="3"/>
        <v>#REF!</v>
      </c>
      <c r="E476" s="87"/>
    </row>
    <row r="477" spans="1:5" ht="14.25" customHeight="1" x14ac:dyDescent="0.2">
      <c r="A477" s="82"/>
      <c r="B477" s="83" t="e">
        <f t="shared" si="2"/>
        <v>#REF!</v>
      </c>
      <c r="C477" s="96" t="e">
        <f t="shared" si="3"/>
        <v>#REF!</v>
      </c>
      <c r="E477" s="87"/>
    </row>
    <row r="478" spans="1:5" ht="14.25" customHeight="1" x14ac:dyDescent="0.2">
      <c r="A478" s="82"/>
      <c r="B478" s="83" t="e">
        <f t="shared" si="2"/>
        <v>#REF!</v>
      </c>
      <c r="C478" s="96" t="e">
        <f t="shared" si="3"/>
        <v>#REF!</v>
      </c>
      <c r="E478" s="87"/>
    </row>
    <row r="479" spans="1:5" ht="14.25" customHeight="1" x14ac:dyDescent="0.2">
      <c r="A479" s="82"/>
      <c r="B479" s="83" t="e">
        <f t="shared" si="2"/>
        <v>#REF!</v>
      </c>
      <c r="C479" s="96" t="e">
        <f t="shared" si="3"/>
        <v>#REF!</v>
      </c>
      <c r="E479" s="87"/>
    </row>
    <row r="480" spans="1:5" ht="14.25" customHeight="1" x14ac:dyDescent="0.2">
      <c r="A480" s="82"/>
      <c r="B480" s="83" t="e">
        <f t="shared" si="2"/>
        <v>#REF!</v>
      </c>
      <c r="C480" s="96" t="e">
        <f t="shared" si="3"/>
        <v>#REF!</v>
      </c>
      <c r="E480" s="87"/>
    </row>
    <row r="481" spans="1:5" ht="14.25" customHeight="1" x14ac:dyDescent="0.2">
      <c r="A481" s="82"/>
      <c r="B481" s="83" t="e">
        <f t="shared" si="2"/>
        <v>#REF!</v>
      </c>
      <c r="C481" s="96" t="e">
        <f t="shared" si="3"/>
        <v>#REF!</v>
      </c>
      <c r="E481" s="87"/>
    </row>
    <row r="482" spans="1:5" ht="14.25" customHeight="1" x14ac:dyDescent="0.2">
      <c r="A482" s="82"/>
      <c r="B482" s="83" t="e">
        <f t="shared" si="2"/>
        <v>#REF!</v>
      </c>
      <c r="C482" s="96" t="e">
        <f t="shared" si="3"/>
        <v>#REF!</v>
      </c>
      <c r="E482" s="87"/>
    </row>
    <row r="483" spans="1:5" ht="14.25" customHeight="1" x14ac:dyDescent="0.2">
      <c r="A483" s="82"/>
      <c r="B483" s="83" t="e">
        <f t="shared" si="2"/>
        <v>#REF!</v>
      </c>
      <c r="C483" s="96" t="e">
        <f t="shared" si="3"/>
        <v>#REF!</v>
      </c>
      <c r="E483" s="87"/>
    </row>
    <row r="484" spans="1:5" ht="14.25" customHeight="1" x14ac:dyDescent="0.2">
      <c r="A484" s="82"/>
      <c r="B484" s="83" t="e">
        <f t="shared" si="2"/>
        <v>#REF!</v>
      </c>
      <c r="C484" s="96" t="e">
        <f t="shared" si="3"/>
        <v>#REF!</v>
      </c>
      <c r="E484" s="87"/>
    </row>
    <row r="485" spans="1:5" ht="14.25" customHeight="1" x14ac:dyDescent="0.2">
      <c r="A485" s="82"/>
      <c r="B485" s="83" t="e">
        <f t="shared" si="2"/>
        <v>#REF!</v>
      </c>
      <c r="C485" s="96" t="e">
        <f t="shared" si="3"/>
        <v>#REF!</v>
      </c>
      <c r="E485" s="87"/>
    </row>
    <row r="486" spans="1:5" ht="14.25" customHeight="1" x14ac:dyDescent="0.2">
      <c r="A486" s="82"/>
      <c r="B486" s="83" t="e">
        <f t="shared" si="2"/>
        <v>#REF!</v>
      </c>
      <c r="C486" s="96" t="e">
        <f t="shared" si="3"/>
        <v>#REF!</v>
      </c>
      <c r="E486" s="87"/>
    </row>
    <row r="487" spans="1:5" ht="14.25" customHeight="1" x14ac:dyDescent="0.2">
      <c r="A487" s="82"/>
      <c r="B487" s="83" t="e">
        <f t="shared" si="2"/>
        <v>#REF!</v>
      </c>
      <c r="C487" s="96" t="e">
        <f t="shared" si="3"/>
        <v>#REF!</v>
      </c>
      <c r="E487" s="87"/>
    </row>
    <row r="488" spans="1:5" ht="14.25" customHeight="1" x14ac:dyDescent="0.2">
      <c r="A488" s="82"/>
      <c r="B488" s="83" t="e">
        <f t="shared" si="2"/>
        <v>#REF!</v>
      </c>
      <c r="C488" s="96" t="e">
        <f t="shared" si="3"/>
        <v>#REF!</v>
      </c>
      <c r="E488" s="87"/>
    </row>
    <row r="489" spans="1:5" ht="14.25" customHeight="1" x14ac:dyDescent="0.2">
      <c r="A489" s="82"/>
      <c r="B489" s="83" t="e">
        <f t="shared" si="2"/>
        <v>#REF!</v>
      </c>
      <c r="C489" s="96" t="e">
        <f t="shared" si="3"/>
        <v>#REF!</v>
      </c>
      <c r="E489" s="87"/>
    </row>
    <row r="490" spans="1:5" ht="14.25" customHeight="1" x14ac:dyDescent="0.2">
      <c r="A490" s="82"/>
      <c r="B490" s="83" t="e">
        <f t="shared" si="2"/>
        <v>#REF!</v>
      </c>
      <c r="C490" s="96" t="e">
        <f t="shared" si="3"/>
        <v>#REF!</v>
      </c>
      <c r="E490" s="87"/>
    </row>
    <row r="491" spans="1:5" ht="14.25" customHeight="1" x14ac:dyDescent="0.2">
      <c r="A491" s="82"/>
      <c r="B491" s="83" t="e">
        <f t="shared" si="2"/>
        <v>#REF!</v>
      </c>
      <c r="C491" s="96" t="e">
        <f t="shared" si="3"/>
        <v>#REF!</v>
      </c>
      <c r="E491" s="87"/>
    </row>
    <row r="492" spans="1:5" ht="14.25" customHeight="1" x14ac:dyDescent="0.2">
      <c r="A492" s="82"/>
      <c r="B492" s="83" t="e">
        <f t="shared" si="2"/>
        <v>#REF!</v>
      </c>
      <c r="C492" s="96" t="e">
        <f t="shared" si="3"/>
        <v>#REF!</v>
      </c>
      <c r="E492" s="87"/>
    </row>
    <row r="493" spans="1:5" ht="14.25" customHeight="1" x14ac:dyDescent="0.2">
      <c r="A493" s="82"/>
      <c r="B493" s="83" t="e">
        <f t="shared" si="2"/>
        <v>#REF!</v>
      </c>
      <c r="C493" s="96" t="e">
        <f t="shared" si="3"/>
        <v>#REF!</v>
      </c>
      <c r="E493" s="87"/>
    </row>
    <row r="494" spans="1:5" ht="14.25" customHeight="1" x14ac:dyDescent="0.2">
      <c r="A494" s="82"/>
      <c r="B494" s="83" t="e">
        <f t="shared" si="2"/>
        <v>#REF!</v>
      </c>
      <c r="C494" s="96" t="e">
        <f t="shared" si="3"/>
        <v>#REF!</v>
      </c>
      <c r="E494" s="87"/>
    </row>
    <row r="495" spans="1:5" ht="14.25" customHeight="1" x14ac:dyDescent="0.2">
      <c r="A495" s="82"/>
      <c r="B495" s="83" t="e">
        <f t="shared" si="2"/>
        <v>#REF!</v>
      </c>
      <c r="C495" s="96" t="e">
        <f t="shared" si="3"/>
        <v>#REF!</v>
      </c>
      <c r="E495" s="87"/>
    </row>
    <row r="496" spans="1:5" ht="14.25" customHeight="1" x14ac:dyDescent="0.2">
      <c r="A496" s="82"/>
      <c r="B496" s="83" t="e">
        <f t="shared" si="2"/>
        <v>#REF!</v>
      </c>
      <c r="C496" s="96" t="e">
        <f t="shared" si="3"/>
        <v>#REF!</v>
      </c>
      <c r="E496" s="87"/>
    </row>
    <row r="497" spans="1:5" ht="14.25" customHeight="1" x14ac:dyDescent="0.2">
      <c r="A497" s="82"/>
      <c r="B497" s="83" t="e">
        <f t="shared" si="2"/>
        <v>#REF!</v>
      </c>
      <c r="C497" s="96" t="e">
        <f t="shared" si="3"/>
        <v>#REF!</v>
      </c>
      <c r="E497" s="87"/>
    </row>
    <row r="498" spans="1:5" ht="14.25" customHeight="1" x14ac:dyDescent="0.2">
      <c r="A498" s="82"/>
      <c r="B498" s="83" t="e">
        <f t="shared" si="2"/>
        <v>#REF!</v>
      </c>
      <c r="C498" s="96" t="e">
        <f t="shared" si="3"/>
        <v>#REF!</v>
      </c>
      <c r="E498" s="87"/>
    </row>
    <row r="499" spans="1:5" ht="14.25" customHeight="1" x14ac:dyDescent="0.2">
      <c r="A499" s="82"/>
      <c r="B499" s="83" t="e">
        <f t="shared" si="2"/>
        <v>#REF!</v>
      </c>
      <c r="C499" s="96" t="e">
        <f t="shared" si="3"/>
        <v>#REF!</v>
      </c>
      <c r="E499" s="87"/>
    </row>
    <row r="500" spans="1:5" ht="14.25" customHeight="1" x14ac:dyDescent="0.2">
      <c r="A500" s="82"/>
      <c r="B500" s="83" t="e">
        <f t="shared" si="2"/>
        <v>#REF!</v>
      </c>
      <c r="C500" s="96" t="e">
        <f t="shared" si="3"/>
        <v>#REF!</v>
      </c>
      <c r="E500" s="87"/>
    </row>
    <row r="501" spans="1:5" ht="14.25" customHeight="1" x14ac:dyDescent="0.2">
      <c r="A501" s="82"/>
      <c r="B501" s="83" t="e">
        <f t="shared" si="2"/>
        <v>#REF!</v>
      </c>
      <c r="C501" s="96" t="e">
        <f t="shared" si="3"/>
        <v>#REF!</v>
      </c>
      <c r="E501" s="87"/>
    </row>
    <row r="502" spans="1:5" ht="14.25" customHeight="1" x14ac:dyDescent="0.2">
      <c r="A502" s="82"/>
      <c r="B502" s="83" t="e">
        <f t="shared" si="2"/>
        <v>#REF!</v>
      </c>
      <c r="C502" s="96" t="e">
        <f t="shared" si="3"/>
        <v>#REF!</v>
      </c>
      <c r="E502" s="87"/>
    </row>
    <row r="503" spans="1:5" ht="14.25" customHeight="1" x14ac:dyDescent="0.2">
      <c r="A503" s="82"/>
      <c r="B503" s="83" t="e">
        <f t="shared" si="2"/>
        <v>#REF!</v>
      </c>
      <c r="C503" s="96" t="e">
        <f t="shared" si="3"/>
        <v>#REF!</v>
      </c>
      <c r="E503" s="87"/>
    </row>
    <row r="504" spans="1:5" ht="14.25" customHeight="1" x14ac:dyDescent="0.2">
      <c r="A504" s="82"/>
      <c r="B504" s="83" t="e">
        <f t="shared" si="2"/>
        <v>#REF!</v>
      </c>
      <c r="C504" s="96" t="e">
        <f t="shared" si="3"/>
        <v>#REF!</v>
      </c>
      <c r="E504" s="87"/>
    </row>
    <row r="505" spans="1:5" ht="14.25" customHeight="1" x14ac:dyDescent="0.2">
      <c r="A505" s="82"/>
      <c r="B505" s="83" t="e">
        <f t="shared" si="2"/>
        <v>#REF!</v>
      </c>
      <c r="C505" s="96" t="e">
        <f t="shared" si="3"/>
        <v>#REF!</v>
      </c>
      <c r="E505" s="87"/>
    </row>
    <row r="506" spans="1:5" ht="14.25" customHeight="1" x14ac:dyDescent="0.2">
      <c r="A506" s="82"/>
      <c r="B506" s="83" t="e">
        <f t="shared" si="2"/>
        <v>#REF!</v>
      </c>
      <c r="C506" s="96" t="e">
        <f t="shared" si="3"/>
        <v>#REF!</v>
      </c>
      <c r="E506" s="87"/>
    </row>
    <row r="507" spans="1:5" ht="14.25" customHeight="1" x14ac:dyDescent="0.2">
      <c r="A507" s="82"/>
      <c r="B507" s="83" t="e">
        <f t="shared" si="2"/>
        <v>#REF!</v>
      </c>
      <c r="C507" s="96" t="e">
        <f t="shared" si="3"/>
        <v>#REF!</v>
      </c>
      <c r="E507" s="87"/>
    </row>
    <row r="508" spans="1:5" ht="14.25" customHeight="1" x14ac:dyDescent="0.2">
      <c r="A508" s="82"/>
      <c r="B508" s="83" t="e">
        <f t="shared" si="2"/>
        <v>#REF!</v>
      </c>
      <c r="C508" s="96" t="e">
        <f t="shared" si="3"/>
        <v>#REF!</v>
      </c>
      <c r="E508" s="87"/>
    </row>
    <row r="509" spans="1:5" ht="14.25" customHeight="1" x14ac:dyDescent="0.2">
      <c r="A509" s="82"/>
      <c r="B509" s="83" t="e">
        <f t="shared" si="2"/>
        <v>#REF!</v>
      </c>
      <c r="C509" s="96" t="e">
        <f t="shared" si="3"/>
        <v>#REF!</v>
      </c>
      <c r="E509" s="87"/>
    </row>
    <row r="510" spans="1:5" ht="14.25" customHeight="1" x14ac:dyDescent="0.2">
      <c r="A510" s="82"/>
      <c r="B510" s="83" t="e">
        <f t="shared" si="2"/>
        <v>#REF!</v>
      </c>
      <c r="C510" s="96" t="e">
        <f t="shared" si="3"/>
        <v>#REF!</v>
      </c>
      <c r="E510" s="87"/>
    </row>
    <row r="511" spans="1:5" ht="14.25" customHeight="1" x14ac:dyDescent="0.2">
      <c r="A511" s="82"/>
      <c r="B511" s="83" t="e">
        <f t="shared" si="2"/>
        <v>#REF!</v>
      </c>
      <c r="C511" s="96" t="e">
        <f t="shared" si="3"/>
        <v>#REF!</v>
      </c>
      <c r="E511" s="87"/>
    </row>
    <row r="512" spans="1:5" ht="14.25" customHeight="1" x14ac:dyDescent="0.2">
      <c r="A512" s="82"/>
      <c r="B512" s="83" t="e">
        <f t="shared" si="2"/>
        <v>#REF!</v>
      </c>
      <c r="C512" s="96" t="e">
        <f t="shared" si="3"/>
        <v>#REF!</v>
      </c>
      <c r="E512" s="87"/>
    </row>
    <row r="513" spans="1:5" ht="14.25" customHeight="1" x14ac:dyDescent="0.2">
      <c r="A513" s="82"/>
      <c r="B513" s="83" t="e">
        <f t="shared" si="2"/>
        <v>#REF!</v>
      </c>
      <c r="C513" s="96" t="e">
        <f t="shared" si="3"/>
        <v>#REF!</v>
      </c>
      <c r="E513" s="87"/>
    </row>
    <row r="514" spans="1:5" ht="14.25" customHeight="1" x14ac:dyDescent="0.2">
      <c r="A514" s="82"/>
      <c r="B514" s="83" t="e">
        <f t="shared" si="2"/>
        <v>#REF!</v>
      </c>
      <c r="C514" s="96" t="e">
        <f t="shared" si="3"/>
        <v>#REF!</v>
      </c>
      <c r="E514" s="87"/>
    </row>
    <row r="515" spans="1:5" ht="14.25" customHeight="1" x14ac:dyDescent="0.2">
      <c r="A515" s="82"/>
      <c r="B515" s="83" t="e">
        <f t="shared" si="2"/>
        <v>#REF!</v>
      </c>
      <c r="C515" s="96" t="e">
        <f t="shared" si="3"/>
        <v>#REF!</v>
      </c>
      <c r="E515" s="87"/>
    </row>
    <row r="516" spans="1:5" ht="14.25" customHeight="1" x14ac:dyDescent="0.2">
      <c r="A516" s="82"/>
      <c r="B516" s="83" t="e">
        <f t="shared" si="2"/>
        <v>#REF!</v>
      </c>
      <c r="C516" s="96" t="e">
        <f t="shared" si="3"/>
        <v>#REF!</v>
      </c>
      <c r="E516" s="87"/>
    </row>
    <row r="517" spans="1:5" ht="14.25" customHeight="1" x14ac:dyDescent="0.2">
      <c r="A517" s="82"/>
      <c r="B517" s="83" t="e">
        <f t="shared" si="2"/>
        <v>#REF!</v>
      </c>
      <c r="C517" s="96" t="e">
        <f t="shared" si="3"/>
        <v>#REF!</v>
      </c>
      <c r="E517" s="87"/>
    </row>
    <row r="518" spans="1:5" ht="14.25" customHeight="1" x14ac:dyDescent="0.2">
      <c r="A518" s="82"/>
      <c r="B518" s="83" t="e">
        <f t="shared" si="2"/>
        <v>#REF!</v>
      </c>
      <c r="C518" s="96" t="e">
        <f t="shared" si="3"/>
        <v>#REF!</v>
      </c>
      <c r="E518" s="87"/>
    </row>
    <row r="519" spans="1:5" ht="14.25" customHeight="1" x14ac:dyDescent="0.2">
      <c r="A519" s="82"/>
      <c r="B519" s="83" t="e">
        <f t="shared" si="2"/>
        <v>#REF!</v>
      </c>
      <c r="C519" s="96" t="e">
        <f t="shared" si="3"/>
        <v>#REF!</v>
      </c>
      <c r="E519" s="87"/>
    </row>
    <row r="520" spans="1:5" ht="14.25" customHeight="1" x14ac:dyDescent="0.2">
      <c r="A520" s="82"/>
      <c r="B520" s="83" t="e">
        <f t="shared" si="2"/>
        <v>#REF!</v>
      </c>
      <c r="C520" s="96" t="e">
        <f t="shared" si="3"/>
        <v>#REF!</v>
      </c>
      <c r="E520" s="87"/>
    </row>
    <row r="521" spans="1:5" ht="14.25" customHeight="1" x14ac:dyDescent="0.2">
      <c r="A521" s="82"/>
      <c r="B521" s="83" t="e">
        <f t="shared" si="2"/>
        <v>#REF!</v>
      </c>
      <c r="C521" s="96" t="e">
        <f t="shared" si="3"/>
        <v>#REF!</v>
      </c>
      <c r="E521" s="87"/>
    </row>
    <row r="522" spans="1:5" ht="14.25" customHeight="1" x14ac:dyDescent="0.2">
      <c r="A522" s="82"/>
      <c r="B522" s="83" t="e">
        <f t="shared" si="2"/>
        <v>#REF!</v>
      </c>
      <c r="C522" s="96" t="e">
        <f t="shared" si="3"/>
        <v>#REF!</v>
      </c>
      <c r="E522" s="87"/>
    </row>
    <row r="523" spans="1:5" ht="14.25" customHeight="1" x14ac:dyDescent="0.2">
      <c r="A523" s="82"/>
      <c r="B523" s="83" t="e">
        <f t="shared" si="2"/>
        <v>#REF!</v>
      </c>
      <c r="C523" s="96" t="e">
        <f t="shared" si="3"/>
        <v>#REF!</v>
      </c>
      <c r="E523" s="87"/>
    </row>
    <row r="524" spans="1:5" ht="14.25" customHeight="1" x14ac:dyDescent="0.2">
      <c r="A524" s="82"/>
      <c r="B524" s="83" t="e">
        <f t="shared" si="2"/>
        <v>#REF!</v>
      </c>
      <c r="C524" s="96" t="e">
        <f t="shared" si="3"/>
        <v>#REF!</v>
      </c>
      <c r="E524" s="87"/>
    </row>
    <row r="525" spans="1:5" ht="14.25" customHeight="1" x14ac:dyDescent="0.2">
      <c r="A525" s="82"/>
      <c r="B525" s="83" t="e">
        <f t="shared" si="2"/>
        <v>#REF!</v>
      </c>
      <c r="C525" s="96" t="e">
        <f t="shared" si="3"/>
        <v>#REF!</v>
      </c>
      <c r="E525" s="87"/>
    </row>
    <row r="526" spans="1:5" ht="14.25" customHeight="1" x14ac:dyDescent="0.2">
      <c r="A526" s="82"/>
      <c r="B526" s="83" t="e">
        <f t="shared" si="2"/>
        <v>#REF!</v>
      </c>
      <c r="C526" s="96" t="e">
        <f t="shared" si="3"/>
        <v>#REF!</v>
      </c>
      <c r="E526" s="87"/>
    </row>
    <row r="527" spans="1:5" ht="14.25" customHeight="1" x14ac:dyDescent="0.2">
      <c r="A527" s="82"/>
      <c r="B527" s="83" t="e">
        <f t="shared" si="2"/>
        <v>#REF!</v>
      </c>
      <c r="C527" s="96" t="e">
        <f t="shared" si="3"/>
        <v>#REF!</v>
      </c>
      <c r="E527" s="87"/>
    </row>
    <row r="528" spans="1:5" ht="14.25" customHeight="1" x14ac:dyDescent="0.2">
      <c r="A528" s="82"/>
      <c r="B528" s="83" t="e">
        <f t="shared" si="2"/>
        <v>#REF!</v>
      </c>
      <c r="C528" s="96" t="e">
        <f t="shared" si="3"/>
        <v>#REF!</v>
      </c>
      <c r="E528" s="87"/>
    </row>
    <row r="529" spans="1:5" ht="14.25" customHeight="1" x14ac:dyDescent="0.2">
      <c r="A529" s="82"/>
      <c r="B529" s="83" t="e">
        <f t="shared" si="2"/>
        <v>#REF!</v>
      </c>
      <c r="C529" s="96" t="e">
        <f t="shared" si="3"/>
        <v>#REF!</v>
      </c>
      <c r="E529" s="87"/>
    </row>
    <row r="530" spans="1:5" ht="14.25" customHeight="1" x14ac:dyDescent="0.2">
      <c r="A530" s="82"/>
      <c r="B530" s="83" t="e">
        <f t="shared" si="2"/>
        <v>#REF!</v>
      </c>
      <c r="C530" s="96" t="e">
        <f t="shared" si="3"/>
        <v>#REF!</v>
      </c>
      <c r="E530" s="87"/>
    </row>
    <row r="531" spans="1:5" ht="14.25" customHeight="1" x14ac:dyDescent="0.2">
      <c r="A531" s="82"/>
      <c r="B531" s="83" t="e">
        <f t="shared" si="2"/>
        <v>#REF!</v>
      </c>
      <c r="C531" s="96" t="e">
        <f t="shared" si="3"/>
        <v>#REF!</v>
      </c>
      <c r="E531" s="87"/>
    </row>
    <row r="532" spans="1:5" ht="14.25" customHeight="1" x14ac:dyDescent="0.2">
      <c r="A532" s="82"/>
      <c r="B532" s="83" t="e">
        <f t="shared" si="2"/>
        <v>#REF!</v>
      </c>
      <c r="C532" s="96" t="e">
        <f t="shared" si="3"/>
        <v>#REF!</v>
      </c>
      <c r="E532" s="87"/>
    </row>
    <row r="533" spans="1:5" ht="14.25" customHeight="1" x14ac:dyDescent="0.2">
      <c r="A533" s="82"/>
      <c r="B533" s="83" t="e">
        <f t="shared" si="2"/>
        <v>#REF!</v>
      </c>
      <c r="C533" s="96" t="e">
        <f t="shared" si="3"/>
        <v>#REF!</v>
      </c>
      <c r="E533" s="87"/>
    </row>
    <row r="534" spans="1:5" ht="14.25" customHeight="1" x14ac:dyDescent="0.2">
      <c r="A534" s="82"/>
      <c r="B534" s="83" t="e">
        <f t="shared" si="2"/>
        <v>#REF!</v>
      </c>
      <c r="C534" s="96" t="e">
        <f t="shared" si="3"/>
        <v>#REF!</v>
      </c>
      <c r="E534" s="87"/>
    </row>
    <row r="535" spans="1:5" ht="14.25" customHeight="1" x14ac:dyDescent="0.2">
      <c r="A535" s="82"/>
      <c r="B535" s="83" t="e">
        <f t="shared" si="2"/>
        <v>#REF!</v>
      </c>
      <c r="C535" s="96" t="e">
        <f t="shared" si="3"/>
        <v>#REF!</v>
      </c>
      <c r="E535" s="87"/>
    </row>
    <row r="536" spans="1:5" ht="14.25" customHeight="1" x14ac:dyDescent="0.2">
      <c r="A536" s="82"/>
      <c r="B536" s="83" t="e">
        <f t="shared" si="2"/>
        <v>#REF!</v>
      </c>
      <c r="C536" s="96" t="e">
        <f t="shared" si="3"/>
        <v>#REF!</v>
      </c>
      <c r="E536" s="87"/>
    </row>
    <row r="537" spans="1:5" ht="14.25" customHeight="1" x14ac:dyDescent="0.2">
      <c r="A537" s="82"/>
      <c r="B537" s="83" t="e">
        <f t="shared" si="2"/>
        <v>#REF!</v>
      </c>
      <c r="C537" s="96" t="e">
        <f t="shared" si="3"/>
        <v>#REF!</v>
      </c>
      <c r="E537" s="87"/>
    </row>
    <row r="538" spans="1:5" ht="14.25" customHeight="1" x14ac:dyDescent="0.2">
      <c r="A538" s="82"/>
      <c r="B538" s="83" t="e">
        <f t="shared" si="2"/>
        <v>#REF!</v>
      </c>
      <c r="C538" s="96" t="e">
        <f t="shared" si="3"/>
        <v>#REF!</v>
      </c>
      <c r="E538" s="87"/>
    </row>
    <row r="539" spans="1:5" ht="14.25" customHeight="1" x14ac:dyDescent="0.2">
      <c r="A539" s="82"/>
      <c r="B539" s="83" t="e">
        <f t="shared" si="2"/>
        <v>#REF!</v>
      </c>
      <c r="C539" s="96" t="e">
        <f t="shared" si="3"/>
        <v>#REF!</v>
      </c>
      <c r="E539" s="87"/>
    </row>
    <row r="540" spans="1:5" ht="14.25" customHeight="1" x14ac:dyDescent="0.2">
      <c r="A540" s="82"/>
      <c r="B540" s="83" t="e">
        <f t="shared" si="2"/>
        <v>#REF!</v>
      </c>
      <c r="C540" s="96" t="e">
        <f t="shared" si="3"/>
        <v>#REF!</v>
      </c>
      <c r="E540" s="87"/>
    </row>
    <row r="541" spans="1:5" ht="14.25" customHeight="1" x14ac:dyDescent="0.2">
      <c r="A541" s="82"/>
      <c r="B541" s="83" t="e">
        <f t="shared" si="2"/>
        <v>#REF!</v>
      </c>
      <c r="C541" s="96" t="e">
        <f t="shared" si="3"/>
        <v>#REF!</v>
      </c>
      <c r="E541" s="87"/>
    </row>
    <row r="542" spans="1:5" ht="14.25" customHeight="1" x14ac:dyDescent="0.2">
      <c r="A542" s="82"/>
      <c r="B542" s="83" t="e">
        <f t="shared" si="2"/>
        <v>#REF!</v>
      </c>
      <c r="C542" s="96" t="e">
        <f t="shared" si="3"/>
        <v>#REF!</v>
      </c>
      <c r="E542" s="87"/>
    </row>
    <row r="543" spans="1:5" ht="14.25" customHeight="1" x14ac:dyDescent="0.2">
      <c r="A543" s="82"/>
      <c r="B543" s="83" t="e">
        <f t="shared" si="2"/>
        <v>#REF!</v>
      </c>
      <c r="C543" s="96" t="e">
        <f t="shared" si="3"/>
        <v>#REF!</v>
      </c>
      <c r="E543" s="87"/>
    </row>
    <row r="544" spans="1:5" ht="14.25" customHeight="1" x14ac:dyDescent="0.2">
      <c r="A544" s="82"/>
      <c r="B544" s="83" t="e">
        <f t="shared" si="2"/>
        <v>#REF!</v>
      </c>
      <c r="C544" s="96" t="e">
        <f t="shared" si="3"/>
        <v>#REF!</v>
      </c>
      <c r="E544" s="87"/>
    </row>
    <row r="545" spans="1:5" ht="14.25" customHeight="1" x14ac:dyDescent="0.2">
      <c r="A545" s="82"/>
      <c r="B545" s="83" t="e">
        <f t="shared" si="2"/>
        <v>#REF!</v>
      </c>
      <c r="C545" s="96" t="e">
        <f t="shared" si="3"/>
        <v>#REF!</v>
      </c>
      <c r="E545" s="87"/>
    </row>
    <row r="546" spans="1:5" ht="14.25" customHeight="1" x14ac:dyDescent="0.2">
      <c r="A546" s="82"/>
      <c r="B546" s="83" t="e">
        <f t="shared" si="2"/>
        <v>#REF!</v>
      </c>
      <c r="C546" s="96" t="e">
        <f t="shared" si="3"/>
        <v>#REF!</v>
      </c>
      <c r="E546" s="87"/>
    </row>
    <row r="547" spans="1:5" ht="14.25" customHeight="1" x14ac:dyDescent="0.2">
      <c r="A547" s="82"/>
      <c r="B547" s="83" t="e">
        <f t="shared" si="2"/>
        <v>#REF!</v>
      </c>
      <c r="C547" s="96" t="e">
        <f t="shared" si="3"/>
        <v>#REF!</v>
      </c>
      <c r="E547" s="87"/>
    </row>
    <row r="548" spans="1:5" ht="14.25" customHeight="1" x14ac:dyDescent="0.2">
      <c r="A548" s="82"/>
      <c r="B548" s="83" t="e">
        <f t="shared" si="2"/>
        <v>#REF!</v>
      </c>
      <c r="C548" s="96" t="e">
        <f t="shared" si="3"/>
        <v>#REF!</v>
      </c>
      <c r="E548" s="87"/>
    </row>
    <row r="549" spans="1:5" ht="14.25" customHeight="1" x14ac:dyDescent="0.2">
      <c r="A549" s="82"/>
      <c r="B549" s="83" t="e">
        <f t="shared" si="2"/>
        <v>#REF!</v>
      </c>
      <c r="C549" s="96" t="e">
        <f t="shared" si="3"/>
        <v>#REF!</v>
      </c>
      <c r="E549" s="87"/>
    </row>
    <row r="550" spans="1:5" ht="14.25" customHeight="1" x14ac:dyDescent="0.2">
      <c r="A550" s="82"/>
      <c r="B550" s="83" t="e">
        <f t="shared" si="2"/>
        <v>#REF!</v>
      </c>
      <c r="C550" s="96" t="e">
        <f t="shared" si="3"/>
        <v>#REF!</v>
      </c>
      <c r="E550" s="87"/>
    </row>
    <row r="551" spans="1:5" ht="14.25" customHeight="1" x14ac:dyDescent="0.2">
      <c r="A551" s="82"/>
      <c r="B551" s="83" t="e">
        <f t="shared" si="2"/>
        <v>#REF!</v>
      </c>
      <c r="C551" s="96" t="e">
        <f t="shared" si="3"/>
        <v>#REF!</v>
      </c>
      <c r="E551" s="87"/>
    </row>
    <row r="552" spans="1:5" ht="14.25" customHeight="1" x14ac:dyDescent="0.2">
      <c r="A552" s="82"/>
      <c r="B552" s="83" t="e">
        <f t="shared" si="2"/>
        <v>#REF!</v>
      </c>
      <c r="C552" s="96" t="e">
        <f t="shared" si="3"/>
        <v>#REF!</v>
      </c>
      <c r="E552" s="87"/>
    </row>
    <row r="553" spans="1:5" ht="14.25" customHeight="1" x14ac:dyDescent="0.2">
      <c r="A553" s="82"/>
      <c r="B553" s="83" t="e">
        <f t="shared" si="2"/>
        <v>#REF!</v>
      </c>
      <c r="C553" s="96" t="e">
        <f t="shared" si="3"/>
        <v>#REF!</v>
      </c>
      <c r="E553" s="87"/>
    </row>
    <row r="554" spans="1:5" ht="14.25" customHeight="1" x14ac:dyDescent="0.2">
      <c r="A554" s="82"/>
      <c r="B554" s="83" t="e">
        <f t="shared" si="2"/>
        <v>#REF!</v>
      </c>
      <c r="C554" s="96" t="e">
        <f t="shared" si="3"/>
        <v>#REF!</v>
      </c>
      <c r="E554" s="87"/>
    </row>
    <row r="555" spans="1:5" ht="14.25" customHeight="1" x14ac:dyDescent="0.2">
      <c r="A555" s="82"/>
      <c r="B555" s="83" t="e">
        <f t="shared" si="2"/>
        <v>#REF!</v>
      </c>
      <c r="C555" s="96" t="e">
        <f t="shared" si="3"/>
        <v>#REF!</v>
      </c>
      <c r="E555" s="87"/>
    </row>
    <row r="556" spans="1:5" ht="14.25" customHeight="1" x14ac:dyDescent="0.2">
      <c r="A556" s="82"/>
      <c r="B556" s="83" t="e">
        <f t="shared" si="2"/>
        <v>#REF!</v>
      </c>
      <c r="C556" s="96" t="e">
        <f t="shared" si="3"/>
        <v>#REF!</v>
      </c>
      <c r="E556" s="87"/>
    </row>
    <row r="557" spans="1:5" ht="14.25" customHeight="1" x14ac:dyDescent="0.2">
      <c r="A557" s="82"/>
      <c r="B557" s="83" t="e">
        <f t="shared" si="2"/>
        <v>#REF!</v>
      </c>
      <c r="C557" s="96" t="e">
        <f t="shared" si="3"/>
        <v>#REF!</v>
      </c>
      <c r="E557" s="87"/>
    </row>
    <row r="558" spans="1:5" ht="14.25" customHeight="1" x14ac:dyDescent="0.2">
      <c r="A558" s="82"/>
      <c r="B558" s="83" t="e">
        <f t="shared" si="2"/>
        <v>#REF!</v>
      </c>
      <c r="C558" s="96" t="e">
        <f t="shared" si="3"/>
        <v>#REF!</v>
      </c>
      <c r="E558" s="87"/>
    </row>
    <row r="559" spans="1:5" ht="14.25" customHeight="1" x14ac:dyDescent="0.2">
      <c r="A559" s="82"/>
      <c r="B559" s="83" t="e">
        <f t="shared" si="2"/>
        <v>#REF!</v>
      </c>
      <c r="C559" s="96" t="e">
        <f t="shared" si="3"/>
        <v>#REF!</v>
      </c>
      <c r="E559" s="87"/>
    </row>
    <row r="560" spans="1:5" ht="14.25" customHeight="1" x14ac:dyDescent="0.2">
      <c r="A560" s="82"/>
      <c r="B560" s="83" t="e">
        <f t="shared" si="2"/>
        <v>#REF!</v>
      </c>
      <c r="C560" s="96" t="e">
        <f t="shared" si="3"/>
        <v>#REF!</v>
      </c>
      <c r="E560" s="87"/>
    </row>
    <row r="561" spans="1:5" ht="14.25" customHeight="1" x14ac:dyDescent="0.2">
      <c r="A561" s="82"/>
      <c r="B561" s="83" t="e">
        <f t="shared" si="2"/>
        <v>#REF!</v>
      </c>
      <c r="C561" s="96" t="e">
        <f t="shared" si="3"/>
        <v>#REF!</v>
      </c>
      <c r="E561" s="87"/>
    </row>
    <row r="562" spans="1:5" ht="14.25" customHeight="1" x14ac:dyDescent="0.2">
      <c r="A562" s="82"/>
      <c r="B562" s="83" t="e">
        <f t="shared" si="2"/>
        <v>#REF!</v>
      </c>
      <c r="C562" s="96" t="e">
        <f t="shared" si="3"/>
        <v>#REF!</v>
      </c>
      <c r="E562" s="87"/>
    </row>
    <row r="563" spans="1:5" ht="14.25" customHeight="1" x14ac:dyDescent="0.2">
      <c r="A563" s="82"/>
      <c r="B563" s="83" t="e">
        <f t="shared" si="2"/>
        <v>#REF!</v>
      </c>
      <c r="C563" s="96" t="e">
        <f t="shared" si="3"/>
        <v>#REF!</v>
      </c>
      <c r="E563" s="87"/>
    </row>
    <row r="564" spans="1:5" ht="14.25" customHeight="1" x14ac:dyDescent="0.2">
      <c r="A564" s="82"/>
      <c r="B564" s="83" t="e">
        <f t="shared" si="2"/>
        <v>#REF!</v>
      </c>
      <c r="C564" s="96" t="e">
        <f t="shared" si="3"/>
        <v>#REF!</v>
      </c>
      <c r="E564" s="87"/>
    </row>
    <row r="565" spans="1:5" ht="14.25" customHeight="1" x14ac:dyDescent="0.2">
      <c r="A565" s="82"/>
      <c r="B565" s="83" t="e">
        <f t="shared" si="2"/>
        <v>#REF!</v>
      </c>
      <c r="C565" s="96" t="e">
        <f t="shared" si="3"/>
        <v>#REF!</v>
      </c>
      <c r="E565" s="87"/>
    </row>
    <row r="566" spans="1:5" ht="14.25" customHeight="1" x14ac:dyDescent="0.2">
      <c r="A566" s="82"/>
      <c r="B566" s="83" t="e">
        <f t="shared" si="2"/>
        <v>#REF!</v>
      </c>
      <c r="C566" s="96" t="e">
        <f t="shared" si="3"/>
        <v>#REF!</v>
      </c>
      <c r="E566" s="87"/>
    </row>
    <row r="567" spans="1:5" ht="14.25" customHeight="1" x14ac:dyDescent="0.2">
      <c r="A567" s="82"/>
      <c r="B567" s="83" t="e">
        <f t="shared" si="2"/>
        <v>#REF!</v>
      </c>
      <c r="C567" s="96" t="e">
        <f t="shared" si="3"/>
        <v>#REF!</v>
      </c>
      <c r="E567" s="87"/>
    </row>
    <row r="568" spans="1:5" ht="14.25" customHeight="1" x14ac:dyDescent="0.2">
      <c r="A568" s="82"/>
      <c r="B568" s="83" t="e">
        <f t="shared" si="2"/>
        <v>#REF!</v>
      </c>
      <c r="C568" s="96" t="e">
        <f t="shared" si="3"/>
        <v>#REF!</v>
      </c>
      <c r="E568" s="87"/>
    </row>
    <row r="569" spans="1:5" ht="14.25" customHeight="1" x14ac:dyDescent="0.2">
      <c r="A569" s="82"/>
      <c r="B569" s="83" t="e">
        <f t="shared" si="2"/>
        <v>#REF!</v>
      </c>
      <c r="C569" s="96" t="e">
        <f t="shared" si="3"/>
        <v>#REF!</v>
      </c>
      <c r="E569" s="87"/>
    </row>
    <row r="570" spans="1:5" ht="14.25" customHeight="1" x14ac:dyDescent="0.2">
      <c r="A570" s="82"/>
      <c r="B570" s="83" t="e">
        <f t="shared" si="2"/>
        <v>#REF!</v>
      </c>
      <c r="C570" s="96" t="e">
        <f t="shared" si="3"/>
        <v>#REF!</v>
      </c>
      <c r="E570" s="87"/>
    </row>
    <row r="571" spans="1:5" ht="14.25" customHeight="1" x14ac:dyDescent="0.2">
      <c r="A571" s="82"/>
      <c r="B571" s="83" t="e">
        <f t="shared" si="2"/>
        <v>#REF!</v>
      </c>
      <c r="C571" s="96" t="e">
        <f t="shared" si="3"/>
        <v>#REF!</v>
      </c>
      <c r="E571" s="87"/>
    </row>
    <row r="572" spans="1:5" ht="14.25" customHeight="1" x14ac:dyDescent="0.2">
      <c r="A572" s="82"/>
      <c r="B572" s="83" t="e">
        <f t="shared" si="2"/>
        <v>#REF!</v>
      </c>
      <c r="C572" s="96" t="e">
        <f t="shared" si="3"/>
        <v>#REF!</v>
      </c>
      <c r="E572" s="87"/>
    </row>
    <row r="573" spans="1:5" ht="14.25" customHeight="1" x14ac:dyDescent="0.2">
      <c r="A573" s="82"/>
      <c r="B573" s="83" t="e">
        <f t="shared" si="2"/>
        <v>#REF!</v>
      </c>
      <c r="C573" s="96" t="e">
        <f t="shared" si="3"/>
        <v>#REF!</v>
      </c>
      <c r="E573" s="87"/>
    </row>
    <row r="574" spans="1:5" ht="14.25" customHeight="1" x14ac:dyDescent="0.2">
      <c r="A574" s="82"/>
      <c r="B574" s="83" t="e">
        <f t="shared" si="2"/>
        <v>#REF!</v>
      </c>
      <c r="C574" s="96" t="e">
        <f t="shared" si="3"/>
        <v>#REF!</v>
      </c>
      <c r="E574" s="87"/>
    </row>
    <row r="575" spans="1:5" ht="14.25" customHeight="1" x14ac:dyDescent="0.2">
      <c r="A575" s="82"/>
      <c r="B575" s="83" t="e">
        <f t="shared" si="2"/>
        <v>#REF!</v>
      </c>
      <c r="C575" s="96" t="e">
        <f t="shared" si="3"/>
        <v>#REF!</v>
      </c>
      <c r="E575" s="87"/>
    </row>
    <row r="576" spans="1:5" ht="14.25" customHeight="1" x14ac:dyDescent="0.2">
      <c r="A576" s="82"/>
      <c r="B576" s="83" t="e">
        <f t="shared" si="2"/>
        <v>#REF!</v>
      </c>
      <c r="C576" s="96" t="e">
        <f t="shared" si="3"/>
        <v>#REF!</v>
      </c>
      <c r="E576" s="87"/>
    </row>
    <row r="577" spans="1:5" ht="14.25" customHeight="1" x14ac:dyDescent="0.2">
      <c r="A577" s="82"/>
      <c r="B577" s="83" t="e">
        <f t="shared" si="2"/>
        <v>#REF!</v>
      </c>
      <c r="C577" s="96" t="e">
        <f t="shared" si="3"/>
        <v>#REF!</v>
      </c>
      <c r="E577" s="87"/>
    </row>
    <row r="578" spans="1:5" ht="14.25" customHeight="1" x14ac:dyDescent="0.2">
      <c r="A578" s="82"/>
      <c r="B578" s="83" t="e">
        <f t="shared" si="2"/>
        <v>#REF!</v>
      </c>
      <c r="C578" s="96" t="e">
        <f t="shared" si="3"/>
        <v>#REF!</v>
      </c>
      <c r="E578" s="87"/>
    </row>
    <row r="579" spans="1:5" ht="14.25" customHeight="1" x14ac:dyDescent="0.2">
      <c r="A579" s="82"/>
      <c r="B579" s="83" t="e">
        <f t="shared" si="2"/>
        <v>#REF!</v>
      </c>
      <c r="C579" s="96" t="e">
        <f t="shared" si="3"/>
        <v>#REF!</v>
      </c>
      <c r="E579" s="87"/>
    </row>
    <row r="580" spans="1:5" ht="14.25" customHeight="1" x14ac:dyDescent="0.2">
      <c r="A580" s="82"/>
      <c r="B580" s="83" t="e">
        <f t="shared" si="2"/>
        <v>#REF!</v>
      </c>
      <c r="C580" s="96" t="e">
        <f t="shared" si="3"/>
        <v>#REF!</v>
      </c>
      <c r="E580" s="87"/>
    </row>
    <row r="581" spans="1:5" ht="14.25" customHeight="1" x14ac:dyDescent="0.2">
      <c r="A581" s="82"/>
      <c r="B581" s="83" t="e">
        <f t="shared" si="2"/>
        <v>#REF!</v>
      </c>
      <c r="C581" s="96" t="e">
        <f t="shared" si="3"/>
        <v>#REF!</v>
      </c>
      <c r="E581" s="87"/>
    </row>
    <row r="582" spans="1:5" ht="14.25" customHeight="1" x14ac:dyDescent="0.2">
      <c r="A582" s="82"/>
      <c r="B582" s="83" t="e">
        <f t="shared" si="2"/>
        <v>#REF!</v>
      </c>
      <c r="C582" s="96" t="e">
        <f t="shared" si="3"/>
        <v>#REF!</v>
      </c>
      <c r="E582" s="87"/>
    </row>
    <row r="583" spans="1:5" ht="14.25" customHeight="1" x14ac:dyDescent="0.2">
      <c r="A583" s="82"/>
      <c r="B583" s="83" t="e">
        <f t="shared" si="2"/>
        <v>#REF!</v>
      </c>
      <c r="C583" s="96" t="e">
        <f t="shared" si="3"/>
        <v>#REF!</v>
      </c>
      <c r="E583" s="87"/>
    </row>
    <row r="584" spans="1:5" ht="14.25" customHeight="1" x14ac:dyDescent="0.2">
      <c r="A584" s="82"/>
      <c r="B584" s="83" t="e">
        <f t="shared" si="2"/>
        <v>#REF!</v>
      </c>
      <c r="C584" s="96" t="e">
        <f t="shared" si="3"/>
        <v>#REF!</v>
      </c>
      <c r="E584" s="87"/>
    </row>
    <row r="585" spans="1:5" ht="14.25" customHeight="1" x14ac:dyDescent="0.2">
      <c r="A585" s="82"/>
      <c r="B585" s="83" t="e">
        <f t="shared" si="2"/>
        <v>#REF!</v>
      </c>
      <c r="C585" s="96" t="e">
        <f t="shared" si="3"/>
        <v>#REF!</v>
      </c>
      <c r="E585" s="87"/>
    </row>
    <row r="586" spans="1:5" ht="14.25" customHeight="1" x14ac:dyDescent="0.2">
      <c r="A586" s="82"/>
      <c r="B586" s="83" t="e">
        <f t="shared" si="2"/>
        <v>#REF!</v>
      </c>
      <c r="C586" s="96" t="e">
        <f t="shared" si="3"/>
        <v>#REF!</v>
      </c>
      <c r="E586" s="87"/>
    </row>
    <row r="587" spans="1:5" ht="14.25" customHeight="1" x14ac:dyDescent="0.2">
      <c r="A587" s="82"/>
      <c r="B587" s="83" t="e">
        <f t="shared" si="2"/>
        <v>#REF!</v>
      </c>
      <c r="C587" s="96" t="e">
        <f t="shared" si="3"/>
        <v>#REF!</v>
      </c>
      <c r="E587" s="87"/>
    </row>
    <row r="588" spans="1:5" ht="14.25" customHeight="1" x14ac:dyDescent="0.2">
      <c r="A588" s="82"/>
      <c r="B588" s="83" t="e">
        <f t="shared" si="2"/>
        <v>#REF!</v>
      </c>
      <c r="C588" s="96" t="e">
        <f t="shared" si="3"/>
        <v>#REF!</v>
      </c>
      <c r="E588" s="87"/>
    </row>
    <row r="589" spans="1:5" ht="14.25" customHeight="1" x14ac:dyDescent="0.2">
      <c r="A589" s="82"/>
      <c r="B589" s="83" t="e">
        <f t="shared" si="2"/>
        <v>#REF!</v>
      </c>
      <c r="C589" s="96" t="e">
        <f t="shared" si="3"/>
        <v>#REF!</v>
      </c>
      <c r="E589" s="87"/>
    </row>
    <row r="590" spans="1:5" ht="14.25" customHeight="1" x14ac:dyDescent="0.2">
      <c r="A590" s="82"/>
      <c r="B590" s="83" t="e">
        <f t="shared" si="2"/>
        <v>#REF!</v>
      </c>
      <c r="C590" s="96" t="e">
        <f t="shared" si="3"/>
        <v>#REF!</v>
      </c>
      <c r="E590" s="87"/>
    </row>
    <row r="591" spans="1:5" ht="14.25" customHeight="1" x14ac:dyDescent="0.2">
      <c r="A591" s="82"/>
      <c r="B591" s="83" t="e">
        <f t="shared" si="2"/>
        <v>#REF!</v>
      </c>
      <c r="C591" s="96" t="e">
        <f t="shared" si="3"/>
        <v>#REF!</v>
      </c>
      <c r="E591" s="87"/>
    </row>
    <row r="592" spans="1:5" ht="14.25" customHeight="1" x14ac:dyDescent="0.2">
      <c r="A592" s="82"/>
      <c r="B592" s="83" t="e">
        <f t="shared" si="2"/>
        <v>#REF!</v>
      </c>
      <c r="C592" s="96" t="e">
        <f t="shared" si="3"/>
        <v>#REF!</v>
      </c>
      <c r="E592" s="87"/>
    </row>
    <row r="593" spans="1:5" ht="14.25" customHeight="1" x14ac:dyDescent="0.2">
      <c r="A593" s="82"/>
      <c r="B593" s="83" t="e">
        <f t="shared" si="2"/>
        <v>#REF!</v>
      </c>
      <c r="C593" s="96" t="e">
        <f t="shared" si="3"/>
        <v>#REF!</v>
      </c>
      <c r="E593" s="87"/>
    </row>
    <row r="594" spans="1:5" ht="14.25" customHeight="1" x14ac:dyDescent="0.2">
      <c r="A594" s="82"/>
      <c r="B594" s="83" t="e">
        <f t="shared" si="2"/>
        <v>#REF!</v>
      </c>
      <c r="C594" s="96" t="e">
        <f t="shared" si="3"/>
        <v>#REF!</v>
      </c>
      <c r="E594" s="87"/>
    </row>
    <row r="595" spans="1:5" ht="14.25" customHeight="1" x14ac:dyDescent="0.2">
      <c r="A595" s="82"/>
      <c r="B595" s="83" t="e">
        <f t="shared" si="2"/>
        <v>#REF!</v>
      </c>
      <c r="C595" s="96" t="e">
        <f t="shared" si="3"/>
        <v>#REF!</v>
      </c>
      <c r="E595" s="87"/>
    </row>
    <row r="596" spans="1:5" ht="14.25" customHeight="1" x14ac:dyDescent="0.2">
      <c r="A596" s="82"/>
      <c r="B596" s="83" t="e">
        <f t="shared" si="2"/>
        <v>#REF!</v>
      </c>
      <c r="C596" s="96" t="e">
        <f t="shared" si="3"/>
        <v>#REF!</v>
      </c>
      <c r="E596" s="87"/>
    </row>
    <row r="597" spans="1:5" ht="14.25" customHeight="1" x14ac:dyDescent="0.2">
      <c r="A597" s="82"/>
      <c r="B597" s="83" t="e">
        <f t="shared" si="2"/>
        <v>#REF!</v>
      </c>
      <c r="C597" s="96" t="e">
        <f t="shared" si="3"/>
        <v>#REF!</v>
      </c>
      <c r="E597" s="87"/>
    </row>
    <row r="598" spans="1:5" ht="14.25" customHeight="1" x14ac:dyDescent="0.2">
      <c r="A598" s="82"/>
      <c r="B598" s="83" t="e">
        <f t="shared" si="2"/>
        <v>#REF!</v>
      </c>
      <c r="C598" s="96" t="e">
        <f t="shared" si="3"/>
        <v>#REF!</v>
      </c>
      <c r="E598" s="87"/>
    </row>
    <row r="599" spans="1:5" ht="14.25" customHeight="1" x14ac:dyDescent="0.2">
      <c r="A599" s="82"/>
      <c r="B599" s="83" t="e">
        <f t="shared" si="2"/>
        <v>#REF!</v>
      </c>
      <c r="C599" s="96" t="e">
        <f t="shared" si="3"/>
        <v>#REF!</v>
      </c>
      <c r="E599" s="87"/>
    </row>
    <row r="600" spans="1:5" ht="14.25" customHeight="1" x14ac:dyDescent="0.2">
      <c r="A600" s="82"/>
      <c r="B600" s="83" t="e">
        <f t="shared" si="2"/>
        <v>#REF!</v>
      </c>
      <c r="C600" s="96" t="e">
        <f t="shared" si="3"/>
        <v>#REF!</v>
      </c>
      <c r="E600" s="87"/>
    </row>
    <row r="601" spans="1:5" ht="14.25" customHeight="1" x14ac:dyDescent="0.2">
      <c r="A601" s="82"/>
      <c r="B601" s="83" t="e">
        <f t="shared" si="2"/>
        <v>#REF!</v>
      </c>
      <c r="C601" s="96" t="e">
        <f t="shared" si="3"/>
        <v>#REF!</v>
      </c>
      <c r="E601" s="87"/>
    </row>
    <row r="602" spans="1:5" ht="14.25" customHeight="1" x14ac:dyDescent="0.2">
      <c r="A602" s="82"/>
      <c r="B602" s="83" t="e">
        <f t="shared" si="2"/>
        <v>#REF!</v>
      </c>
      <c r="C602" s="96" t="e">
        <f t="shared" si="3"/>
        <v>#REF!</v>
      </c>
      <c r="E602" s="87"/>
    </row>
    <row r="603" spans="1:5" ht="14.25" customHeight="1" x14ac:dyDescent="0.2">
      <c r="A603" s="82"/>
      <c r="B603" s="83" t="e">
        <f t="shared" si="2"/>
        <v>#REF!</v>
      </c>
      <c r="C603" s="96" t="e">
        <f t="shared" si="3"/>
        <v>#REF!</v>
      </c>
      <c r="E603" s="87"/>
    </row>
    <row r="604" spans="1:5" ht="14.25" customHeight="1" x14ac:dyDescent="0.2">
      <c r="A604" s="82"/>
      <c r="B604" s="83" t="e">
        <f t="shared" si="2"/>
        <v>#REF!</v>
      </c>
      <c r="C604" s="96" t="e">
        <f t="shared" si="3"/>
        <v>#REF!</v>
      </c>
      <c r="E604" s="87"/>
    </row>
    <row r="605" spans="1:5" ht="14.25" customHeight="1" x14ac:dyDescent="0.2">
      <c r="A605" s="82"/>
      <c r="B605" s="83" t="e">
        <f t="shared" si="2"/>
        <v>#REF!</v>
      </c>
      <c r="C605" s="96" t="e">
        <f t="shared" si="3"/>
        <v>#REF!</v>
      </c>
      <c r="E605" s="87"/>
    </row>
    <row r="606" spans="1:5" ht="14.25" customHeight="1" x14ac:dyDescent="0.2">
      <c r="A606" s="82"/>
      <c r="B606" s="83" t="e">
        <f t="shared" si="2"/>
        <v>#REF!</v>
      </c>
      <c r="C606" s="96" t="e">
        <f t="shared" si="3"/>
        <v>#REF!</v>
      </c>
      <c r="E606" s="87"/>
    </row>
    <row r="607" spans="1:5" ht="14.25" customHeight="1" x14ac:dyDescent="0.2">
      <c r="A607" s="82"/>
      <c r="B607" s="83" t="e">
        <f t="shared" si="2"/>
        <v>#REF!</v>
      </c>
      <c r="C607" s="96" t="e">
        <f t="shared" si="3"/>
        <v>#REF!</v>
      </c>
      <c r="E607" s="87"/>
    </row>
    <row r="608" spans="1:5" ht="14.25" customHeight="1" x14ac:dyDescent="0.2">
      <c r="A608" s="82"/>
      <c r="B608" s="83" t="e">
        <f t="shared" si="2"/>
        <v>#REF!</v>
      </c>
      <c r="C608" s="96" t="e">
        <f t="shared" si="3"/>
        <v>#REF!</v>
      </c>
      <c r="E608" s="87"/>
    </row>
    <row r="609" spans="1:5" ht="14.25" customHeight="1" x14ac:dyDescent="0.2">
      <c r="A609" s="82"/>
      <c r="B609" s="83" t="e">
        <f t="shared" si="2"/>
        <v>#REF!</v>
      </c>
      <c r="C609" s="96" t="e">
        <f t="shared" si="3"/>
        <v>#REF!</v>
      </c>
      <c r="E609" s="87"/>
    </row>
    <row r="610" spans="1:5" ht="14.25" customHeight="1" x14ac:dyDescent="0.2">
      <c r="A610" s="82"/>
      <c r="B610" s="83" t="e">
        <f t="shared" si="2"/>
        <v>#REF!</v>
      </c>
      <c r="C610" s="96" t="e">
        <f t="shared" si="3"/>
        <v>#REF!</v>
      </c>
      <c r="E610" s="87"/>
    </row>
    <row r="611" spans="1:5" ht="14.25" customHeight="1" x14ac:dyDescent="0.2">
      <c r="A611" s="82"/>
      <c r="B611" s="83" t="e">
        <f t="shared" si="2"/>
        <v>#REF!</v>
      </c>
      <c r="C611" s="96" t="e">
        <f t="shared" si="3"/>
        <v>#REF!</v>
      </c>
      <c r="E611" s="87"/>
    </row>
    <row r="612" spans="1:5" ht="14.25" customHeight="1" x14ac:dyDescent="0.2">
      <c r="A612" s="82"/>
      <c r="B612" s="83" t="e">
        <f t="shared" si="2"/>
        <v>#REF!</v>
      </c>
      <c r="C612" s="96" t="e">
        <f t="shared" si="3"/>
        <v>#REF!</v>
      </c>
      <c r="E612" s="87"/>
    </row>
    <row r="613" spans="1:5" ht="14.25" customHeight="1" x14ac:dyDescent="0.2">
      <c r="A613" s="82"/>
      <c r="B613" s="83" t="e">
        <f t="shared" si="2"/>
        <v>#REF!</v>
      </c>
      <c r="C613" s="96" t="e">
        <f t="shared" si="3"/>
        <v>#REF!</v>
      </c>
      <c r="E613" s="87"/>
    </row>
    <row r="614" spans="1:5" ht="14.25" customHeight="1" x14ac:dyDescent="0.2">
      <c r="A614" s="82"/>
      <c r="B614" s="83" t="e">
        <f t="shared" si="2"/>
        <v>#REF!</v>
      </c>
      <c r="C614" s="96" t="e">
        <f t="shared" si="3"/>
        <v>#REF!</v>
      </c>
      <c r="E614" s="87"/>
    </row>
    <row r="615" spans="1:5" ht="14.25" customHeight="1" x14ac:dyDescent="0.2">
      <c r="A615" s="82"/>
      <c r="B615" s="83" t="e">
        <f t="shared" si="2"/>
        <v>#REF!</v>
      </c>
      <c r="C615" s="96" t="e">
        <f t="shared" si="3"/>
        <v>#REF!</v>
      </c>
      <c r="E615" s="87"/>
    </row>
    <row r="616" spans="1:5" ht="14.25" customHeight="1" x14ac:dyDescent="0.2">
      <c r="A616" s="82"/>
      <c r="B616" s="83" t="e">
        <f t="shared" si="2"/>
        <v>#REF!</v>
      </c>
      <c r="C616" s="96" t="e">
        <f t="shared" si="3"/>
        <v>#REF!</v>
      </c>
      <c r="E616" s="87"/>
    </row>
    <row r="617" spans="1:5" ht="14.25" customHeight="1" x14ac:dyDescent="0.2">
      <c r="A617" s="82"/>
      <c r="B617" s="83" t="e">
        <f t="shared" si="2"/>
        <v>#REF!</v>
      </c>
      <c r="C617" s="96" t="e">
        <f t="shared" si="3"/>
        <v>#REF!</v>
      </c>
      <c r="E617" s="87"/>
    </row>
    <row r="618" spans="1:5" ht="14.25" customHeight="1" x14ac:dyDescent="0.2">
      <c r="A618" s="82"/>
      <c r="B618" s="83" t="e">
        <f t="shared" si="2"/>
        <v>#REF!</v>
      </c>
      <c r="C618" s="96" t="e">
        <f t="shared" si="3"/>
        <v>#REF!</v>
      </c>
      <c r="E618" s="87"/>
    </row>
    <row r="619" spans="1:5" ht="14.25" customHeight="1" x14ac:dyDescent="0.2">
      <c r="A619" s="82"/>
      <c r="B619" s="83" t="e">
        <f t="shared" si="2"/>
        <v>#REF!</v>
      </c>
      <c r="C619" s="96" t="e">
        <f t="shared" si="3"/>
        <v>#REF!</v>
      </c>
      <c r="E619" s="87"/>
    </row>
    <row r="620" spans="1:5" ht="14.25" customHeight="1" x14ac:dyDescent="0.2">
      <c r="A620" s="82"/>
      <c r="B620" s="83" t="e">
        <f t="shared" si="2"/>
        <v>#REF!</v>
      </c>
      <c r="C620" s="96" t="e">
        <f t="shared" si="3"/>
        <v>#REF!</v>
      </c>
      <c r="E620" s="87"/>
    </row>
    <row r="621" spans="1:5" ht="14.25" customHeight="1" x14ac:dyDescent="0.2">
      <c r="A621" s="82"/>
      <c r="B621" s="83" t="e">
        <f t="shared" si="2"/>
        <v>#REF!</v>
      </c>
      <c r="C621" s="96" t="e">
        <f t="shared" si="3"/>
        <v>#REF!</v>
      </c>
      <c r="E621" s="87"/>
    </row>
    <row r="622" spans="1:5" ht="14.25" customHeight="1" x14ac:dyDescent="0.2">
      <c r="A622" s="82"/>
      <c r="B622" s="83" t="e">
        <f t="shared" si="2"/>
        <v>#REF!</v>
      </c>
      <c r="C622" s="96" t="e">
        <f t="shared" si="3"/>
        <v>#REF!</v>
      </c>
      <c r="E622" s="87"/>
    </row>
    <row r="623" spans="1:5" ht="14.25" customHeight="1" x14ac:dyDescent="0.2">
      <c r="A623" s="82"/>
      <c r="B623" s="83" t="e">
        <f t="shared" si="2"/>
        <v>#REF!</v>
      </c>
      <c r="C623" s="96" t="e">
        <f t="shared" si="3"/>
        <v>#REF!</v>
      </c>
      <c r="E623" s="87"/>
    </row>
    <row r="624" spans="1:5" ht="14.25" customHeight="1" x14ac:dyDescent="0.2">
      <c r="A624" s="82"/>
      <c r="B624" s="83" t="e">
        <f t="shared" si="2"/>
        <v>#REF!</v>
      </c>
      <c r="C624" s="96" t="e">
        <f t="shared" si="3"/>
        <v>#REF!</v>
      </c>
      <c r="E624" s="87"/>
    </row>
    <row r="625" spans="1:5" ht="14.25" customHeight="1" x14ac:dyDescent="0.2">
      <c r="A625" s="82"/>
      <c r="B625" s="83" t="e">
        <f t="shared" si="2"/>
        <v>#REF!</v>
      </c>
      <c r="C625" s="96" t="e">
        <f t="shared" si="3"/>
        <v>#REF!</v>
      </c>
      <c r="E625" s="87"/>
    </row>
    <row r="626" spans="1:5" ht="14.25" customHeight="1" x14ac:dyDescent="0.2">
      <c r="A626" s="82"/>
      <c r="B626" s="83" t="e">
        <f t="shared" si="2"/>
        <v>#REF!</v>
      </c>
      <c r="C626" s="96" t="e">
        <f t="shared" si="3"/>
        <v>#REF!</v>
      </c>
      <c r="E626" s="87"/>
    </row>
    <row r="627" spans="1:5" ht="14.25" customHeight="1" x14ac:dyDescent="0.2">
      <c r="A627" s="82"/>
      <c r="B627" s="83" t="e">
        <f t="shared" si="2"/>
        <v>#REF!</v>
      </c>
      <c r="C627" s="96" t="e">
        <f t="shared" si="3"/>
        <v>#REF!</v>
      </c>
      <c r="E627" s="87"/>
    </row>
    <row r="628" spans="1:5" ht="14.25" customHeight="1" x14ac:dyDescent="0.2">
      <c r="A628" s="82"/>
      <c r="B628" s="83" t="e">
        <f t="shared" si="2"/>
        <v>#REF!</v>
      </c>
      <c r="C628" s="96" t="e">
        <f t="shared" si="3"/>
        <v>#REF!</v>
      </c>
      <c r="E628" s="87"/>
    </row>
    <row r="629" spans="1:5" ht="14.25" customHeight="1" x14ac:dyDescent="0.2">
      <c r="A629" s="82"/>
      <c r="B629" s="83" t="e">
        <f t="shared" si="2"/>
        <v>#REF!</v>
      </c>
      <c r="C629" s="96" t="e">
        <f t="shared" si="3"/>
        <v>#REF!</v>
      </c>
      <c r="E629" s="87"/>
    </row>
    <row r="630" spans="1:5" ht="14.25" customHeight="1" x14ac:dyDescent="0.2">
      <c r="A630" s="82"/>
      <c r="B630" s="83" t="e">
        <f t="shared" si="2"/>
        <v>#REF!</v>
      </c>
      <c r="C630" s="96" t="e">
        <f t="shared" si="3"/>
        <v>#REF!</v>
      </c>
      <c r="E630" s="87"/>
    </row>
    <row r="631" spans="1:5" ht="14.25" customHeight="1" x14ac:dyDescent="0.2">
      <c r="A631" s="82"/>
      <c r="B631" s="83" t="e">
        <f t="shared" si="2"/>
        <v>#REF!</v>
      </c>
      <c r="C631" s="96" t="e">
        <f t="shared" si="3"/>
        <v>#REF!</v>
      </c>
      <c r="E631" s="87"/>
    </row>
    <row r="632" spans="1:5" ht="14.25" customHeight="1" x14ac:dyDescent="0.2">
      <c r="A632" s="82"/>
      <c r="B632" s="83" t="e">
        <f t="shared" si="2"/>
        <v>#REF!</v>
      </c>
      <c r="C632" s="96" t="e">
        <f t="shared" si="3"/>
        <v>#REF!</v>
      </c>
      <c r="E632" s="87"/>
    </row>
    <row r="633" spans="1:5" ht="14.25" customHeight="1" x14ac:dyDescent="0.2">
      <c r="A633" s="82"/>
      <c r="B633" s="83" t="e">
        <f t="shared" si="2"/>
        <v>#REF!</v>
      </c>
      <c r="C633" s="96" t="e">
        <f t="shared" si="3"/>
        <v>#REF!</v>
      </c>
      <c r="E633" s="87"/>
    </row>
    <row r="634" spans="1:5" ht="14.25" customHeight="1" x14ac:dyDescent="0.2">
      <c r="A634" s="82"/>
      <c r="B634" s="83" t="e">
        <f t="shared" si="2"/>
        <v>#REF!</v>
      </c>
      <c r="C634" s="96" t="e">
        <f t="shared" si="3"/>
        <v>#REF!</v>
      </c>
      <c r="E634" s="87"/>
    </row>
    <row r="635" spans="1:5" ht="14.25" customHeight="1" x14ac:dyDescent="0.2">
      <c r="A635" s="82"/>
      <c r="B635" s="83" t="e">
        <f t="shared" si="2"/>
        <v>#REF!</v>
      </c>
      <c r="C635" s="96" t="e">
        <f t="shared" si="3"/>
        <v>#REF!</v>
      </c>
      <c r="E635" s="87"/>
    </row>
    <row r="636" spans="1:5" ht="14.25" customHeight="1" x14ac:dyDescent="0.2">
      <c r="A636" s="82"/>
      <c r="B636" s="83" t="e">
        <f t="shared" si="2"/>
        <v>#REF!</v>
      </c>
      <c r="C636" s="96" t="e">
        <f t="shared" si="3"/>
        <v>#REF!</v>
      </c>
      <c r="E636" s="87"/>
    </row>
    <row r="637" spans="1:5" ht="14.25" customHeight="1" x14ac:dyDescent="0.2">
      <c r="A637" s="82"/>
      <c r="B637" s="83" t="e">
        <f t="shared" si="2"/>
        <v>#REF!</v>
      </c>
      <c r="C637" s="96" t="e">
        <f t="shared" si="3"/>
        <v>#REF!</v>
      </c>
      <c r="E637" s="87"/>
    </row>
    <row r="638" spans="1:5" ht="14.25" customHeight="1" x14ac:dyDescent="0.2">
      <c r="A638" s="82"/>
      <c r="B638" s="83" t="e">
        <f t="shared" si="2"/>
        <v>#REF!</v>
      </c>
      <c r="C638" s="96" t="e">
        <f t="shared" si="3"/>
        <v>#REF!</v>
      </c>
      <c r="E638" s="87"/>
    </row>
    <row r="639" spans="1:5" ht="14.25" customHeight="1" x14ac:dyDescent="0.2">
      <c r="A639" s="82"/>
      <c r="B639" s="83" t="e">
        <f t="shared" si="2"/>
        <v>#REF!</v>
      </c>
      <c r="C639" s="96" t="e">
        <f t="shared" si="3"/>
        <v>#REF!</v>
      </c>
      <c r="E639" s="87"/>
    </row>
    <row r="640" spans="1:5" ht="14.25" customHeight="1" x14ac:dyDescent="0.2">
      <c r="A640" s="82"/>
      <c r="B640" s="83" t="e">
        <f t="shared" si="2"/>
        <v>#REF!</v>
      </c>
      <c r="C640" s="96" t="e">
        <f t="shared" si="3"/>
        <v>#REF!</v>
      </c>
      <c r="E640" s="87"/>
    </row>
    <row r="641" spans="1:5" ht="14.25" customHeight="1" x14ac:dyDescent="0.2">
      <c r="A641" s="82"/>
      <c r="B641" s="83" t="e">
        <f t="shared" si="2"/>
        <v>#REF!</v>
      </c>
      <c r="C641" s="96" t="e">
        <f t="shared" si="3"/>
        <v>#REF!</v>
      </c>
      <c r="E641" s="87"/>
    </row>
    <row r="642" spans="1:5" ht="14.25" customHeight="1" x14ac:dyDescent="0.2">
      <c r="A642" s="82"/>
      <c r="B642" s="83" t="e">
        <f t="shared" si="2"/>
        <v>#REF!</v>
      </c>
      <c r="C642" s="96" t="e">
        <f t="shared" si="3"/>
        <v>#REF!</v>
      </c>
      <c r="E642" s="87"/>
    </row>
    <row r="643" spans="1:5" ht="14.25" customHeight="1" x14ac:dyDescent="0.2">
      <c r="A643" s="82"/>
      <c r="B643" s="83" t="e">
        <f t="shared" si="2"/>
        <v>#REF!</v>
      </c>
      <c r="C643" s="96" t="e">
        <f t="shared" si="3"/>
        <v>#REF!</v>
      </c>
      <c r="E643" s="87"/>
    </row>
    <row r="644" spans="1:5" ht="14.25" customHeight="1" x14ac:dyDescent="0.2">
      <c r="A644" s="82"/>
      <c r="B644" s="83" t="e">
        <f t="shared" si="2"/>
        <v>#REF!</v>
      </c>
      <c r="C644" s="96" t="e">
        <f t="shared" si="3"/>
        <v>#REF!</v>
      </c>
      <c r="E644" s="87"/>
    </row>
    <row r="645" spans="1:5" ht="14.25" customHeight="1" x14ac:dyDescent="0.2">
      <c r="A645" s="82"/>
      <c r="B645" s="83" t="e">
        <f t="shared" si="2"/>
        <v>#REF!</v>
      </c>
      <c r="C645" s="96" t="e">
        <f t="shared" si="3"/>
        <v>#REF!</v>
      </c>
      <c r="E645" s="87"/>
    </row>
    <row r="646" spans="1:5" ht="14.25" customHeight="1" x14ac:dyDescent="0.2">
      <c r="A646" s="82"/>
      <c r="B646" s="83" t="e">
        <f t="shared" si="2"/>
        <v>#REF!</v>
      </c>
      <c r="C646" s="96" t="e">
        <f t="shared" si="3"/>
        <v>#REF!</v>
      </c>
      <c r="E646" s="87"/>
    </row>
    <row r="647" spans="1:5" ht="14.25" customHeight="1" x14ac:dyDescent="0.2">
      <c r="A647" s="82"/>
      <c r="B647" s="83" t="e">
        <f t="shared" si="2"/>
        <v>#REF!</v>
      </c>
      <c r="C647" s="96" t="e">
        <f t="shared" si="3"/>
        <v>#REF!</v>
      </c>
      <c r="E647" s="87"/>
    </row>
    <row r="648" spans="1:5" ht="14.25" customHeight="1" x14ac:dyDescent="0.2">
      <c r="A648" s="82"/>
      <c r="B648" s="83" t="e">
        <f t="shared" si="2"/>
        <v>#REF!</v>
      </c>
      <c r="C648" s="96" t="e">
        <f t="shared" si="3"/>
        <v>#REF!</v>
      </c>
      <c r="E648" s="87"/>
    </row>
    <row r="649" spans="1:5" ht="14.25" customHeight="1" x14ac:dyDescent="0.2">
      <c r="A649" s="82"/>
      <c r="B649" s="83" t="e">
        <f t="shared" si="2"/>
        <v>#REF!</v>
      </c>
      <c r="C649" s="96" t="e">
        <f t="shared" si="3"/>
        <v>#REF!</v>
      </c>
      <c r="E649" s="87"/>
    </row>
    <row r="650" spans="1:5" ht="14.25" customHeight="1" x14ac:dyDescent="0.2">
      <c r="A650" s="82"/>
      <c r="B650" s="83" t="e">
        <f t="shared" si="2"/>
        <v>#REF!</v>
      </c>
      <c r="C650" s="96" t="e">
        <f t="shared" si="3"/>
        <v>#REF!</v>
      </c>
      <c r="E650" s="87"/>
    </row>
    <row r="651" spans="1:5" ht="14.25" customHeight="1" x14ac:dyDescent="0.2">
      <c r="A651" s="82"/>
      <c r="B651" s="83" t="e">
        <f t="shared" si="2"/>
        <v>#REF!</v>
      </c>
      <c r="C651" s="96" t="e">
        <f t="shared" si="3"/>
        <v>#REF!</v>
      </c>
      <c r="E651" s="87"/>
    </row>
    <row r="652" spans="1:5" ht="14.25" customHeight="1" x14ac:dyDescent="0.2">
      <c r="A652" s="82"/>
      <c r="B652" s="83" t="e">
        <f t="shared" si="2"/>
        <v>#REF!</v>
      </c>
      <c r="C652" s="96" t="e">
        <f t="shared" si="3"/>
        <v>#REF!</v>
      </c>
      <c r="E652" s="87"/>
    </row>
    <row r="653" spans="1:5" ht="14.25" customHeight="1" x14ac:dyDescent="0.2">
      <c r="A653" s="82"/>
      <c r="B653" s="83" t="e">
        <f t="shared" si="2"/>
        <v>#REF!</v>
      </c>
      <c r="C653" s="96" t="e">
        <f t="shared" si="3"/>
        <v>#REF!</v>
      </c>
      <c r="E653" s="87"/>
    </row>
    <row r="654" spans="1:5" ht="14.25" customHeight="1" x14ac:dyDescent="0.2">
      <c r="A654" s="82"/>
      <c r="B654" s="83" t="e">
        <f t="shared" si="2"/>
        <v>#REF!</v>
      </c>
      <c r="C654" s="96" t="e">
        <f t="shared" si="3"/>
        <v>#REF!</v>
      </c>
      <c r="E654" s="87"/>
    </row>
    <row r="655" spans="1:5" ht="14.25" customHeight="1" x14ac:dyDescent="0.2">
      <c r="A655" s="82"/>
      <c r="B655" s="83" t="e">
        <f t="shared" si="2"/>
        <v>#REF!</v>
      </c>
      <c r="C655" s="96" t="e">
        <f t="shared" si="3"/>
        <v>#REF!</v>
      </c>
      <c r="E655" s="87"/>
    </row>
    <row r="656" spans="1:5" ht="14.25" customHeight="1" x14ac:dyDescent="0.2">
      <c r="A656" s="82"/>
      <c r="B656" s="83" t="e">
        <f t="shared" si="2"/>
        <v>#REF!</v>
      </c>
      <c r="C656" s="96" t="e">
        <f t="shared" si="3"/>
        <v>#REF!</v>
      </c>
      <c r="E656" s="87"/>
    </row>
    <row r="657" spans="1:5" ht="14.25" customHeight="1" x14ac:dyDescent="0.2">
      <c r="A657" s="82"/>
      <c r="B657" s="83" t="e">
        <f t="shared" si="2"/>
        <v>#REF!</v>
      </c>
      <c r="C657" s="96" t="e">
        <f t="shared" si="3"/>
        <v>#REF!</v>
      </c>
      <c r="E657" s="87"/>
    </row>
    <row r="658" spans="1:5" ht="14.25" customHeight="1" x14ac:dyDescent="0.2">
      <c r="A658" s="82"/>
      <c r="B658" s="83" t="e">
        <f t="shared" si="2"/>
        <v>#REF!</v>
      </c>
      <c r="C658" s="96" t="e">
        <f t="shared" si="3"/>
        <v>#REF!</v>
      </c>
      <c r="E658" s="87"/>
    </row>
    <row r="659" spans="1:5" ht="14.25" customHeight="1" x14ac:dyDescent="0.2">
      <c r="A659" s="82"/>
      <c r="B659" s="83" t="e">
        <f t="shared" si="2"/>
        <v>#REF!</v>
      </c>
      <c r="C659" s="96" t="e">
        <f t="shared" si="3"/>
        <v>#REF!</v>
      </c>
      <c r="E659" s="87"/>
    </row>
    <row r="660" spans="1:5" ht="14.25" customHeight="1" x14ac:dyDescent="0.2">
      <c r="A660" s="82"/>
      <c r="B660" s="83" t="e">
        <f t="shared" si="2"/>
        <v>#REF!</v>
      </c>
      <c r="C660" s="96" t="e">
        <f t="shared" si="3"/>
        <v>#REF!</v>
      </c>
      <c r="E660" s="87"/>
    </row>
    <row r="661" spans="1:5" ht="14.25" customHeight="1" x14ac:dyDescent="0.2">
      <c r="A661" s="82"/>
      <c r="B661" s="83" t="e">
        <f t="shared" si="2"/>
        <v>#REF!</v>
      </c>
      <c r="C661" s="96" t="e">
        <f t="shared" si="3"/>
        <v>#REF!</v>
      </c>
      <c r="E661" s="87"/>
    </row>
    <row r="662" spans="1:5" ht="14.25" customHeight="1" x14ac:dyDescent="0.2">
      <c r="A662" s="82"/>
      <c r="B662" s="83" t="e">
        <f t="shared" si="2"/>
        <v>#REF!</v>
      </c>
      <c r="C662" s="96" t="e">
        <f t="shared" si="3"/>
        <v>#REF!</v>
      </c>
      <c r="E662" s="87"/>
    </row>
    <row r="663" spans="1:5" ht="14.25" customHeight="1" x14ac:dyDescent="0.2">
      <c r="A663" s="82"/>
      <c r="B663" s="83" t="e">
        <f t="shared" si="2"/>
        <v>#REF!</v>
      </c>
      <c r="C663" s="96" t="e">
        <f t="shared" si="3"/>
        <v>#REF!</v>
      </c>
      <c r="E663" s="87"/>
    </row>
    <row r="664" spans="1:5" ht="14.25" customHeight="1" x14ac:dyDescent="0.2">
      <c r="A664" s="82"/>
      <c r="B664" s="83" t="e">
        <f t="shared" si="2"/>
        <v>#REF!</v>
      </c>
      <c r="C664" s="96" t="e">
        <f t="shared" si="3"/>
        <v>#REF!</v>
      </c>
      <c r="E664" s="87"/>
    </row>
    <row r="665" spans="1:5" ht="14.25" customHeight="1" x14ac:dyDescent="0.2">
      <c r="A665" s="82"/>
      <c r="B665" s="83" t="e">
        <f t="shared" si="2"/>
        <v>#REF!</v>
      </c>
      <c r="C665" s="96" t="e">
        <f t="shared" si="3"/>
        <v>#REF!</v>
      </c>
      <c r="E665" s="87"/>
    </row>
    <row r="666" spans="1:5" ht="14.25" customHeight="1" x14ac:dyDescent="0.2">
      <c r="A666" s="82"/>
      <c r="B666" s="83" t="e">
        <f t="shared" si="2"/>
        <v>#REF!</v>
      </c>
      <c r="C666" s="96" t="e">
        <f t="shared" si="3"/>
        <v>#REF!</v>
      </c>
      <c r="E666" s="87"/>
    </row>
    <row r="667" spans="1:5" ht="14.25" customHeight="1" x14ac:dyDescent="0.2">
      <c r="A667" s="82"/>
      <c r="B667" s="83" t="e">
        <f t="shared" si="2"/>
        <v>#REF!</v>
      </c>
      <c r="C667" s="96" t="e">
        <f t="shared" si="3"/>
        <v>#REF!</v>
      </c>
      <c r="E667" s="87"/>
    </row>
    <row r="668" spans="1:5" ht="14.25" customHeight="1" x14ac:dyDescent="0.2">
      <c r="A668" s="82"/>
      <c r="B668" s="83" t="e">
        <f t="shared" si="2"/>
        <v>#REF!</v>
      </c>
      <c r="C668" s="96" t="e">
        <f t="shared" si="3"/>
        <v>#REF!</v>
      </c>
      <c r="E668" s="87"/>
    </row>
    <row r="669" spans="1:5" ht="14.25" customHeight="1" x14ac:dyDescent="0.2">
      <c r="A669" s="82"/>
      <c r="B669" s="83" t="e">
        <f t="shared" si="2"/>
        <v>#REF!</v>
      </c>
      <c r="C669" s="96" t="e">
        <f t="shared" si="3"/>
        <v>#REF!</v>
      </c>
      <c r="E669" s="87"/>
    </row>
    <row r="670" spans="1:5" ht="14.25" customHeight="1" x14ac:dyDescent="0.2">
      <c r="A670" s="82"/>
      <c r="B670" s="83" t="e">
        <f t="shared" si="2"/>
        <v>#REF!</v>
      </c>
      <c r="C670" s="96" t="e">
        <f t="shared" si="3"/>
        <v>#REF!</v>
      </c>
      <c r="E670" s="87"/>
    </row>
    <row r="671" spans="1:5" ht="14.25" customHeight="1" x14ac:dyDescent="0.2">
      <c r="A671" s="82"/>
      <c r="B671" s="83" t="e">
        <f t="shared" si="2"/>
        <v>#REF!</v>
      </c>
      <c r="C671" s="96" t="e">
        <f t="shared" si="3"/>
        <v>#REF!</v>
      </c>
      <c r="E671" s="87"/>
    </row>
    <row r="672" spans="1:5" ht="14.25" customHeight="1" x14ac:dyDescent="0.2">
      <c r="A672" s="82"/>
      <c r="B672" s="83" t="e">
        <f t="shared" si="2"/>
        <v>#REF!</v>
      </c>
      <c r="C672" s="96" t="e">
        <f t="shared" si="3"/>
        <v>#REF!</v>
      </c>
      <c r="E672" s="87"/>
    </row>
    <row r="673" spans="1:5" ht="14.25" customHeight="1" x14ac:dyDescent="0.2">
      <c r="A673" s="82"/>
      <c r="B673" s="83" t="e">
        <f t="shared" si="2"/>
        <v>#REF!</v>
      </c>
      <c r="C673" s="96" t="e">
        <f t="shared" si="3"/>
        <v>#REF!</v>
      </c>
      <c r="E673" s="87"/>
    </row>
    <row r="674" spans="1:5" ht="14.25" customHeight="1" x14ac:dyDescent="0.2">
      <c r="A674" s="82"/>
      <c r="B674" s="83" t="e">
        <f t="shared" si="2"/>
        <v>#REF!</v>
      </c>
      <c r="C674" s="96" t="e">
        <f t="shared" si="3"/>
        <v>#REF!</v>
      </c>
      <c r="E674" s="87"/>
    </row>
    <row r="675" spans="1:5" ht="14.25" customHeight="1" x14ac:dyDescent="0.2">
      <c r="A675" s="82"/>
      <c r="B675" s="83" t="e">
        <f t="shared" si="2"/>
        <v>#REF!</v>
      </c>
      <c r="C675" s="96" t="e">
        <f t="shared" si="3"/>
        <v>#REF!</v>
      </c>
      <c r="E675" s="87"/>
    </row>
    <row r="676" spans="1:5" ht="14.25" customHeight="1" x14ac:dyDescent="0.2">
      <c r="A676" s="82"/>
      <c r="B676" s="83" t="e">
        <f t="shared" si="2"/>
        <v>#REF!</v>
      </c>
      <c r="C676" s="96" t="e">
        <f t="shared" si="3"/>
        <v>#REF!</v>
      </c>
      <c r="E676" s="87"/>
    </row>
    <row r="677" spans="1:5" ht="14.25" customHeight="1" x14ac:dyDescent="0.2">
      <c r="A677" s="82"/>
      <c r="B677" s="83" t="e">
        <f t="shared" si="2"/>
        <v>#REF!</v>
      </c>
      <c r="C677" s="96" t="e">
        <f t="shared" si="3"/>
        <v>#REF!</v>
      </c>
      <c r="E677" s="87"/>
    </row>
    <row r="678" spans="1:5" ht="14.25" customHeight="1" x14ac:dyDescent="0.2">
      <c r="A678" s="82"/>
      <c r="B678" s="83" t="e">
        <f t="shared" si="2"/>
        <v>#REF!</v>
      </c>
      <c r="C678" s="96" t="e">
        <f t="shared" si="3"/>
        <v>#REF!</v>
      </c>
      <c r="E678" s="87"/>
    </row>
    <row r="679" spans="1:5" ht="14.25" customHeight="1" x14ac:dyDescent="0.2">
      <c r="A679" s="82"/>
      <c r="B679" s="83" t="e">
        <f t="shared" si="2"/>
        <v>#REF!</v>
      </c>
      <c r="C679" s="96" t="e">
        <f t="shared" si="3"/>
        <v>#REF!</v>
      </c>
      <c r="E679" s="87"/>
    </row>
    <row r="680" spans="1:5" ht="14.25" customHeight="1" x14ac:dyDescent="0.2">
      <c r="A680" s="82"/>
      <c r="B680" s="83" t="e">
        <f t="shared" si="2"/>
        <v>#REF!</v>
      </c>
      <c r="C680" s="96" t="e">
        <f t="shared" si="3"/>
        <v>#REF!</v>
      </c>
      <c r="E680" s="87"/>
    </row>
    <row r="681" spans="1:5" ht="14.25" customHeight="1" x14ac:dyDescent="0.2">
      <c r="A681" s="82"/>
      <c r="B681" s="83" t="e">
        <f t="shared" si="2"/>
        <v>#REF!</v>
      </c>
      <c r="C681" s="96" t="e">
        <f t="shared" si="3"/>
        <v>#REF!</v>
      </c>
      <c r="E681" s="87"/>
    </row>
    <row r="682" spans="1:5" ht="14.25" customHeight="1" x14ac:dyDescent="0.2">
      <c r="A682" s="82"/>
      <c r="B682" s="83" t="e">
        <f t="shared" si="2"/>
        <v>#REF!</v>
      </c>
      <c r="C682" s="96" t="e">
        <f t="shared" si="3"/>
        <v>#REF!</v>
      </c>
      <c r="E682" s="87"/>
    </row>
    <row r="683" spans="1:5" ht="14.25" customHeight="1" x14ac:dyDescent="0.2">
      <c r="A683" s="82"/>
      <c r="B683" s="83" t="e">
        <f t="shared" si="2"/>
        <v>#REF!</v>
      </c>
      <c r="C683" s="96" t="e">
        <f t="shared" si="3"/>
        <v>#REF!</v>
      </c>
      <c r="E683" s="87"/>
    </row>
    <row r="684" spans="1:5" ht="14.25" customHeight="1" x14ac:dyDescent="0.2">
      <c r="A684" s="82"/>
      <c r="B684" s="83" t="e">
        <f t="shared" si="2"/>
        <v>#REF!</v>
      </c>
      <c r="C684" s="96" t="e">
        <f t="shared" si="3"/>
        <v>#REF!</v>
      </c>
      <c r="E684" s="87"/>
    </row>
    <row r="685" spans="1:5" ht="14.25" customHeight="1" x14ac:dyDescent="0.2">
      <c r="A685" s="82"/>
      <c r="B685" s="83" t="e">
        <f t="shared" si="2"/>
        <v>#REF!</v>
      </c>
      <c r="C685" s="96" t="e">
        <f t="shared" si="3"/>
        <v>#REF!</v>
      </c>
      <c r="E685" s="87"/>
    </row>
    <row r="686" spans="1:5" ht="14.25" customHeight="1" x14ac:dyDescent="0.2">
      <c r="A686" s="82"/>
      <c r="B686" s="83" t="e">
        <f t="shared" si="2"/>
        <v>#REF!</v>
      </c>
      <c r="C686" s="96" t="e">
        <f t="shared" si="3"/>
        <v>#REF!</v>
      </c>
      <c r="E686" s="87"/>
    </row>
    <row r="687" spans="1:5" ht="14.25" customHeight="1" x14ac:dyDescent="0.2">
      <c r="A687" s="82"/>
      <c r="B687" s="83" t="e">
        <f t="shared" si="2"/>
        <v>#REF!</v>
      </c>
      <c r="C687" s="96" t="e">
        <f t="shared" si="3"/>
        <v>#REF!</v>
      </c>
      <c r="E687" s="87"/>
    </row>
    <row r="688" spans="1:5" ht="14.25" customHeight="1" x14ac:dyDescent="0.2">
      <c r="A688" s="82"/>
      <c r="B688" s="83" t="e">
        <f t="shared" si="2"/>
        <v>#REF!</v>
      </c>
      <c r="C688" s="96" t="e">
        <f t="shared" si="3"/>
        <v>#REF!</v>
      </c>
      <c r="E688" s="87"/>
    </row>
    <row r="689" spans="1:5" ht="14.25" customHeight="1" x14ac:dyDescent="0.2">
      <c r="A689" s="82"/>
      <c r="B689" s="83" t="e">
        <f t="shared" si="2"/>
        <v>#REF!</v>
      </c>
      <c r="C689" s="96" t="e">
        <f t="shared" si="3"/>
        <v>#REF!</v>
      </c>
      <c r="E689" s="87"/>
    </row>
    <row r="690" spans="1:5" ht="14.25" customHeight="1" x14ac:dyDescent="0.2">
      <c r="A690" s="82"/>
      <c r="B690" s="83" t="e">
        <f t="shared" si="2"/>
        <v>#REF!</v>
      </c>
      <c r="C690" s="96" t="e">
        <f t="shared" si="3"/>
        <v>#REF!</v>
      </c>
      <c r="E690" s="87"/>
    </row>
    <row r="691" spans="1:5" ht="14.25" customHeight="1" x14ac:dyDescent="0.2">
      <c r="A691" s="82"/>
      <c r="B691" s="83" t="e">
        <f t="shared" si="2"/>
        <v>#REF!</v>
      </c>
      <c r="C691" s="96" t="e">
        <f t="shared" si="3"/>
        <v>#REF!</v>
      </c>
      <c r="E691" s="87"/>
    </row>
    <row r="692" spans="1:5" ht="14.25" customHeight="1" x14ac:dyDescent="0.2">
      <c r="A692" s="82"/>
      <c r="B692" s="83" t="e">
        <f t="shared" si="2"/>
        <v>#REF!</v>
      </c>
      <c r="C692" s="96" t="e">
        <f t="shared" si="3"/>
        <v>#REF!</v>
      </c>
      <c r="E692" s="87"/>
    </row>
    <row r="693" spans="1:5" ht="14.25" customHeight="1" x14ac:dyDescent="0.2">
      <c r="A693" s="82"/>
      <c r="B693" s="83" t="e">
        <f t="shared" si="2"/>
        <v>#REF!</v>
      </c>
      <c r="C693" s="96" t="e">
        <f t="shared" si="3"/>
        <v>#REF!</v>
      </c>
      <c r="E693" s="87"/>
    </row>
    <row r="694" spans="1:5" ht="14.25" customHeight="1" x14ac:dyDescent="0.2">
      <c r="A694" s="82"/>
      <c r="B694" s="83" t="e">
        <f t="shared" si="2"/>
        <v>#REF!</v>
      </c>
      <c r="C694" s="96" t="e">
        <f t="shared" si="3"/>
        <v>#REF!</v>
      </c>
      <c r="E694" s="87"/>
    </row>
    <row r="695" spans="1:5" ht="14.25" customHeight="1" x14ac:dyDescent="0.2">
      <c r="A695" s="82"/>
      <c r="B695" s="83" t="e">
        <f t="shared" si="2"/>
        <v>#REF!</v>
      </c>
      <c r="C695" s="96" t="e">
        <f t="shared" si="3"/>
        <v>#REF!</v>
      </c>
      <c r="E695" s="87"/>
    </row>
    <row r="696" spans="1:5" ht="14.25" customHeight="1" x14ac:dyDescent="0.2">
      <c r="A696" s="82"/>
      <c r="B696" s="83" t="e">
        <f t="shared" si="2"/>
        <v>#REF!</v>
      </c>
      <c r="C696" s="96" t="e">
        <f t="shared" si="3"/>
        <v>#REF!</v>
      </c>
      <c r="E696" s="87"/>
    </row>
    <row r="697" spans="1:5" ht="14.25" customHeight="1" x14ac:dyDescent="0.2">
      <c r="A697" s="82"/>
      <c r="B697" s="83" t="e">
        <f t="shared" si="2"/>
        <v>#REF!</v>
      </c>
      <c r="C697" s="96" t="e">
        <f t="shared" si="3"/>
        <v>#REF!</v>
      </c>
      <c r="E697" s="87"/>
    </row>
    <row r="698" spans="1:5" ht="14.25" customHeight="1" x14ac:dyDescent="0.2">
      <c r="A698" s="82"/>
      <c r="B698" s="83" t="e">
        <f t="shared" si="2"/>
        <v>#REF!</v>
      </c>
      <c r="C698" s="96" t="e">
        <f t="shared" si="3"/>
        <v>#REF!</v>
      </c>
      <c r="E698" s="87"/>
    </row>
    <row r="699" spans="1:5" ht="14.25" customHeight="1" x14ac:dyDescent="0.2">
      <c r="A699" s="82"/>
      <c r="B699" s="83" t="e">
        <f t="shared" si="2"/>
        <v>#REF!</v>
      </c>
      <c r="C699" s="96" t="e">
        <f t="shared" si="3"/>
        <v>#REF!</v>
      </c>
      <c r="E699" s="87"/>
    </row>
    <row r="700" spans="1:5" ht="14.25" customHeight="1" x14ac:dyDescent="0.2">
      <c r="A700" s="82"/>
      <c r="B700" s="83" t="e">
        <f t="shared" si="2"/>
        <v>#REF!</v>
      </c>
      <c r="C700" s="96" t="e">
        <f t="shared" si="3"/>
        <v>#REF!</v>
      </c>
      <c r="E700" s="87"/>
    </row>
    <row r="701" spans="1:5" ht="14.25" customHeight="1" x14ac:dyDescent="0.2">
      <c r="A701" s="82"/>
      <c r="B701" s="83" t="e">
        <f t="shared" si="2"/>
        <v>#REF!</v>
      </c>
      <c r="C701" s="96" t="e">
        <f t="shared" si="3"/>
        <v>#REF!</v>
      </c>
      <c r="E701" s="87"/>
    </row>
    <row r="702" spans="1:5" ht="14.25" customHeight="1" x14ac:dyDescent="0.2">
      <c r="A702" s="82"/>
      <c r="B702" s="83" t="e">
        <f t="shared" si="2"/>
        <v>#REF!</v>
      </c>
      <c r="C702" s="96" t="e">
        <f t="shared" si="3"/>
        <v>#REF!</v>
      </c>
      <c r="E702" s="87"/>
    </row>
    <row r="703" spans="1:5" ht="14.25" customHeight="1" x14ac:dyDescent="0.2">
      <c r="A703" s="82"/>
      <c r="B703" s="83" t="e">
        <f t="shared" si="2"/>
        <v>#REF!</v>
      </c>
      <c r="C703" s="96" t="e">
        <f t="shared" si="3"/>
        <v>#REF!</v>
      </c>
      <c r="E703" s="87"/>
    </row>
    <row r="704" spans="1:5" ht="14.25" customHeight="1" x14ac:dyDescent="0.2">
      <c r="A704" s="82"/>
      <c r="B704" s="83" t="e">
        <f t="shared" si="2"/>
        <v>#REF!</v>
      </c>
      <c r="C704" s="96" t="e">
        <f t="shared" si="3"/>
        <v>#REF!</v>
      </c>
      <c r="E704" s="87"/>
    </row>
    <row r="705" spans="1:5" ht="14.25" customHeight="1" x14ac:dyDescent="0.2">
      <c r="A705" s="82"/>
      <c r="B705" s="83" t="e">
        <f t="shared" si="2"/>
        <v>#REF!</v>
      </c>
      <c r="C705" s="96" t="e">
        <f t="shared" si="3"/>
        <v>#REF!</v>
      </c>
      <c r="E705" s="87"/>
    </row>
    <row r="706" spans="1:5" ht="14.25" customHeight="1" x14ac:dyDescent="0.2">
      <c r="A706" s="82"/>
      <c r="B706" s="83" t="e">
        <f t="shared" si="2"/>
        <v>#REF!</v>
      </c>
      <c r="C706" s="96" t="e">
        <f t="shared" si="3"/>
        <v>#REF!</v>
      </c>
      <c r="E706" s="87"/>
    </row>
    <row r="707" spans="1:5" ht="14.25" customHeight="1" x14ac:dyDescent="0.2">
      <c r="A707" s="82"/>
      <c r="B707" s="83" t="e">
        <f t="shared" si="2"/>
        <v>#REF!</v>
      </c>
      <c r="C707" s="96" t="e">
        <f t="shared" si="3"/>
        <v>#REF!</v>
      </c>
      <c r="E707" s="87"/>
    </row>
    <row r="708" spans="1:5" ht="14.25" customHeight="1" x14ac:dyDescent="0.2">
      <c r="A708" s="82"/>
      <c r="B708" s="83" t="e">
        <f t="shared" si="2"/>
        <v>#REF!</v>
      </c>
      <c r="C708" s="96" t="e">
        <f t="shared" si="3"/>
        <v>#REF!</v>
      </c>
      <c r="E708" s="87"/>
    </row>
    <row r="709" spans="1:5" ht="14.25" customHeight="1" x14ac:dyDescent="0.2">
      <c r="A709" s="82"/>
      <c r="B709" s="83" t="e">
        <f t="shared" si="2"/>
        <v>#REF!</v>
      </c>
      <c r="C709" s="96" t="e">
        <f t="shared" si="3"/>
        <v>#REF!</v>
      </c>
      <c r="E709" s="87"/>
    </row>
    <row r="710" spans="1:5" ht="14.25" customHeight="1" x14ac:dyDescent="0.2">
      <c r="A710" s="82"/>
      <c r="B710" s="83" t="e">
        <f t="shared" si="2"/>
        <v>#REF!</v>
      </c>
      <c r="C710" s="96" t="e">
        <f t="shared" si="3"/>
        <v>#REF!</v>
      </c>
      <c r="E710" s="87"/>
    </row>
    <row r="711" spans="1:5" ht="14.25" customHeight="1" x14ac:dyDescent="0.2">
      <c r="A711" s="82"/>
      <c r="B711" s="83" t="e">
        <f t="shared" si="2"/>
        <v>#REF!</v>
      </c>
      <c r="C711" s="96" t="e">
        <f t="shared" si="3"/>
        <v>#REF!</v>
      </c>
      <c r="E711" s="87"/>
    </row>
    <row r="712" spans="1:5" ht="14.25" customHeight="1" x14ac:dyDescent="0.2">
      <c r="A712" s="82"/>
      <c r="B712" s="83" t="e">
        <f t="shared" si="2"/>
        <v>#REF!</v>
      </c>
      <c r="C712" s="96" t="e">
        <f t="shared" si="3"/>
        <v>#REF!</v>
      </c>
      <c r="E712" s="87"/>
    </row>
    <row r="713" spans="1:5" ht="14.25" customHeight="1" x14ac:dyDescent="0.2">
      <c r="A713" s="82"/>
      <c r="B713" s="83" t="e">
        <f t="shared" si="2"/>
        <v>#REF!</v>
      </c>
      <c r="C713" s="96" t="e">
        <f t="shared" si="3"/>
        <v>#REF!</v>
      </c>
      <c r="E713" s="87"/>
    </row>
    <row r="714" spans="1:5" ht="14.25" customHeight="1" x14ac:dyDescent="0.2">
      <c r="A714" s="82"/>
      <c r="B714" s="83" t="e">
        <f t="shared" ref="B714:B801" si="4">IF(H714="credit",#REF!, (#REF!* -1))</f>
        <v>#REF!</v>
      </c>
      <c r="C714" s="96" t="e">
        <f t="shared" ref="C714:C801" si="5">C713+B714</f>
        <v>#REF!</v>
      </c>
      <c r="E714" s="87"/>
    </row>
    <row r="715" spans="1:5" ht="14.25" customHeight="1" x14ac:dyDescent="0.2">
      <c r="A715" s="82"/>
      <c r="B715" s="83" t="e">
        <f t="shared" si="4"/>
        <v>#REF!</v>
      </c>
      <c r="C715" s="96" t="e">
        <f t="shared" si="5"/>
        <v>#REF!</v>
      </c>
      <c r="E715" s="87"/>
    </row>
    <row r="716" spans="1:5" ht="14.25" customHeight="1" x14ac:dyDescent="0.2">
      <c r="A716" s="82"/>
      <c r="B716" s="83" t="e">
        <f t="shared" si="4"/>
        <v>#REF!</v>
      </c>
      <c r="C716" s="96" t="e">
        <f t="shared" si="5"/>
        <v>#REF!</v>
      </c>
      <c r="E716" s="87"/>
    </row>
    <row r="717" spans="1:5" ht="14.25" customHeight="1" x14ac:dyDescent="0.2">
      <c r="A717" s="82"/>
      <c r="B717" s="83" t="e">
        <f t="shared" si="4"/>
        <v>#REF!</v>
      </c>
      <c r="C717" s="96" t="e">
        <f t="shared" si="5"/>
        <v>#REF!</v>
      </c>
      <c r="E717" s="87"/>
    </row>
    <row r="718" spans="1:5" ht="14.25" customHeight="1" x14ac:dyDescent="0.2">
      <c r="A718" s="82"/>
      <c r="B718" s="83" t="e">
        <f t="shared" si="4"/>
        <v>#REF!</v>
      </c>
      <c r="C718" s="96" t="e">
        <f t="shared" si="5"/>
        <v>#REF!</v>
      </c>
      <c r="E718" s="87"/>
    </row>
    <row r="719" spans="1:5" ht="14.25" customHeight="1" x14ac:dyDescent="0.2">
      <c r="A719" s="82"/>
      <c r="B719" s="83" t="e">
        <f t="shared" si="4"/>
        <v>#REF!</v>
      </c>
      <c r="C719" s="96" t="e">
        <f t="shared" si="5"/>
        <v>#REF!</v>
      </c>
      <c r="E719" s="87"/>
    </row>
    <row r="720" spans="1:5" ht="14.25" customHeight="1" x14ac:dyDescent="0.2">
      <c r="A720" s="82"/>
      <c r="B720" s="83" t="e">
        <f t="shared" si="4"/>
        <v>#REF!</v>
      </c>
      <c r="C720" s="96" t="e">
        <f t="shared" si="5"/>
        <v>#REF!</v>
      </c>
      <c r="E720" s="87"/>
    </row>
    <row r="721" spans="1:5" ht="14.25" customHeight="1" x14ac:dyDescent="0.2">
      <c r="A721" s="82"/>
      <c r="B721" s="83" t="e">
        <f t="shared" si="4"/>
        <v>#REF!</v>
      </c>
      <c r="C721" s="96" t="e">
        <f t="shared" si="5"/>
        <v>#REF!</v>
      </c>
      <c r="E721" s="87"/>
    </row>
    <row r="722" spans="1:5" ht="14.25" customHeight="1" x14ac:dyDescent="0.2">
      <c r="A722" s="82"/>
      <c r="B722" s="83" t="e">
        <f t="shared" si="4"/>
        <v>#REF!</v>
      </c>
      <c r="C722" s="96" t="e">
        <f t="shared" si="5"/>
        <v>#REF!</v>
      </c>
      <c r="E722" s="87"/>
    </row>
    <row r="723" spans="1:5" ht="14.25" customHeight="1" x14ac:dyDescent="0.2">
      <c r="A723" s="82"/>
      <c r="B723" s="83" t="e">
        <f t="shared" si="4"/>
        <v>#REF!</v>
      </c>
      <c r="C723" s="96" t="e">
        <f t="shared" si="5"/>
        <v>#REF!</v>
      </c>
      <c r="E723" s="87"/>
    </row>
    <row r="724" spans="1:5" ht="14.25" customHeight="1" x14ac:dyDescent="0.2">
      <c r="A724" s="82"/>
      <c r="B724" s="83" t="e">
        <f t="shared" si="4"/>
        <v>#REF!</v>
      </c>
      <c r="C724" s="96" t="e">
        <f t="shared" si="5"/>
        <v>#REF!</v>
      </c>
      <c r="E724" s="87"/>
    </row>
    <row r="725" spans="1:5" ht="14.25" customHeight="1" x14ac:dyDescent="0.2">
      <c r="A725" s="82"/>
      <c r="B725" s="83" t="e">
        <f t="shared" si="4"/>
        <v>#REF!</v>
      </c>
      <c r="C725" s="96" t="e">
        <f t="shared" si="5"/>
        <v>#REF!</v>
      </c>
      <c r="E725" s="87"/>
    </row>
    <row r="726" spans="1:5" ht="14.25" customHeight="1" x14ac:dyDescent="0.2">
      <c r="A726" s="82"/>
      <c r="B726" s="83" t="e">
        <f t="shared" si="4"/>
        <v>#REF!</v>
      </c>
      <c r="C726" s="96" t="e">
        <f t="shared" si="5"/>
        <v>#REF!</v>
      </c>
      <c r="E726" s="87"/>
    </row>
    <row r="727" spans="1:5" ht="14.25" customHeight="1" x14ac:dyDescent="0.2">
      <c r="A727" s="82"/>
      <c r="B727" s="83" t="e">
        <f t="shared" si="4"/>
        <v>#REF!</v>
      </c>
      <c r="C727" s="96" t="e">
        <f t="shared" si="5"/>
        <v>#REF!</v>
      </c>
      <c r="E727" s="87"/>
    </row>
    <row r="728" spans="1:5" ht="14.25" customHeight="1" x14ac:dyDescent="0.2">
      <c r="A728" s="82"/>
      <c r="B728" s="83" t="e">
        <f t="shared" si="4"/>
        <v>#REF!</v>
      </c>
      <c r="C728" s="96" t="e">
        <f t="shared" si="5"/>
        <v>#REF!</v>
      </c>
      <c r="E728" s="87"/>
    </row>
    <row r="729" spans="1:5" ht="14.25" customHeight="1" x14ac:dyDescent="0.2">
      <c r="A729" s="82"/>
      <c r="B729" s="83" t="e">
        <f t="shared" si="4"/>
        <v>#REF!</v>
      </c>
      <c r="C729" s="96" t="e">
        <f t="shared" si="5"/>
        <v>#REF!</v>
      </c>
      <c r="E729" s="87"/>
    </row>
    <row r="730" spans="1:5" ht="14.25" customHeight="1" x14ac:dyDescent="0.2">
      <c r="A730" s="82"/>
      <c r="B730" s="83" t="e">
        <f t="shared" si="4"/>
        <v>#REF!</v>
      </c>
      <c r="C730" s="96" t="e">
        <f t="shared" si="5"/>
        <v>#REF!</v>
      </c>
      <c r="E730" s="87"/>
    </row>
    <row r="731" spans="1:5" ht="14.25" customHeight="1" x14ac:dyDescent="0.2">
      <c r="A731" s="82"/>
      <c r="B731" s="83" t="e">
        <f t="shared" si="4"/>
        <v>#REF!</v>
      </c>
      <c r="C731" s="96" t="e">
        <f t="shared" si="5"/>
        <v>#REF!</v>
      </c>
      <c r="E731" s="87"/>
    </row>
    <row r="732" spans="1:5" ht="14.25" customHeight="1" x14ac:dyDescent="0.2">
      <c r="A732" s="82"/>
      <c r="B732" s="83" t="e">
        <f t="shared" si="4"/>
        <v>#REF!</v>
      </c>
      <c r="C732" s="96" t="e">
        <f t="shared" si="5"/>
        <v>#REF!</v>
      </c>
      <c r="E732" s="87"/>
    </row>
    <row r="733" spans="1:5" ht="14.25" customHeight="1" x14ac:dyDescent="0.2">
      <c r="A733" s="82"/>
      <c r="B733" s="83" t="e">
        <f t="shared" si="4"/>
        <v>#REF!</v>
      </c>
      <c r="C733" s="96" t="e">
        <f t="shared" si="5"/>
        <v>#REF!</v>
      </c>
      <c r="E733" s="87"/>
    </row>
    <row r="734" spans="1:5" ht="14.25" customHeight="1" x14ac:dyDescent="0.2">
      <c r="A734" s="82"/>
      <c r="B734" s="83" t="e">
        <f t="shared" si="4"/>
        <v>#REF!</v>
      </c>
      <c r="C734" s="96" t="e">
        <f t="shared" si="5"/>
        <v>#REF!</v>
      </c>
      <c r="E734" s="87"/>
    </row>
    <row r="735" spans="1:5" ht="14.25" customHeight="1" x14ac:dyDescent="0.2">
      <c r="A735" s="82"/>
      <c r="B735" s="83" t="e">
        <f t="shared" si="4"/>
        <v>#REF!</v>
      </c>
      <c r="C735" s="96" t="e">
        <f t="shared" si="5"/>
        <v>#REF!</v>
      </c>
      <c r="E735" s="87"/>
    </row>
    <row r="736" spans="1:5" ht="14.25" customHeight="1" x14ac:dyDescent="0.2">
      <c r="A736" s="82"/>
      <c r="B736" s="83" t="e">
        <f t="shared" si="4"/>
        <v>#REF!</v>
      </c>
      <c r="C736" s="96" t="e">
        <f t="shared" si="5"/>
        <v>#REF!</v>
      </c>
      <c r="E736" s="87"/>
    </row>
    <row r="737" spans="1:5" ht="14.25" customHeight="1" x14ac:dyDescent="0.2">
      <c r="A737" s="82"/>
      <c r="B737" s="83" t="e">
        <f t="shared" si="4"/>
        <v>#REF!</v>
      </c>
      <c r="C737" s="96" t="e">
        <f t="shared" si="5"/>
        <v>#REF!</v>
      </c>
      <c r="E737" s="87"/>
    </row>
    <row r="738" spans="1:5" ht="14.25" customHeight="1" x14ac:dyDescent="0.2">
      <c r="A738" s="82"/>
      <c r="B738" s="83" t="e">
        <f t="shared" si="4"/>
        <v>#REF!</v>
      </c>
      <c r="C738" s="96" t="e">
        <f t="shared" si="5"/>
        <v>#REF!</v>
      </c>
      <c r="E738" s="87"/>
    </row>
    <row r="739" spans="1:5" ht="14.25" customHeight="1" x14ac:dyDescent="0.2">
      <c r="A739" s="82"/>
      <c r="B739" s="83" t="e">
        <f t="shared" si="4"/>
        <v>#REF!</v>
      </c>
      <c r="C739" s="96" t="e">
        <f t="shared" si="5"/>
        <v>#REF!</v>
      </c>
      <c r="E739" s="87"/>
    </row>
    <row r="740" spans="1:5" ht="14.25" customHeight="1" x14ac:dyDescent="0.2">
      <c r="A740" s="82"/>
      <c r="B740" s="83" t="e">
        <f t="shared" si="4"/>
        <v>#REF!</v>
      </c>
      <c r="C740" s="96" t="e">
        <f t="shared" si="5"/>
        <v>#REF!</v>
      </c>
      <c r="E740" s="87"/>
    </row>
    <row r="741" spans="1:5" ht="14.25" customHeight="1" x14ac:dyDescent="0.2">
      <c r="A741" s="82"/>
      <c r="B741" s="83" t="e">
        <f t="shared" si="4"/>
        <v>#REF!</v>
      </c>
      <c r="C741" s="96" t="e">
        <f t="shared" si="5"/>
        <v>#REF!</v>
      </c>
      <c r="E741" s="87"/>
    </row>
    <row r="742" spans="1:5" ht="14.25" customHeight="1" x14ac:dyDescent="0.2">
      <c r="A742" s="82"/>
      <c r="B742" s="83" t="e">
        <f t="shared" si="4"/>
        <v>#REF!</v>
      </c>
      <c r="C742" s="96" t="e">
        <f t="shared" si="5"/>
        <v>#REF!</v>
      </c>
      <c r="E742" s="87"/>
    </row>
    <row r="743" spans="1:5" ht="14.25" customHeight="1" x14ac:dyDescent="0.2">
      <c r="A743" s="82"/>
      <c r="B743" s="83" t="e">
        <f t="shared" si="4"/>
        <v>#REF!</v>
      </c>
      <c r="C743" s="96" t="e">
        <f t="shared" si="5"/>
        <v>#REF!</v>
      </c>
      <c r="E743" s="87"/>
    </row>
    <row r="744" spans="1:5" ht="14.25" customHeight="1" x14ac:dyDescent="0.2">
      <c r="A744" s="82"/>
      <c r="B744" s="83" t="e">
        <f t="shared" si="4"/>
        <v>#REF!</v>
      </c>
      <c r="C744" s="96" t="e">
        <f t="shared" si="5"/>
        <v>#REF!</v>
      </c>
      <c r="E744" s="87"/>
    </row>
    <row r="745" spans="1:5" ht="14.25" customHeight="1" x14ac:dyDescent="0.2">
      <c r="A745" s="82"/>
      <c r="B745" s="83" t="e">
        <f t="shared" si="4"/>
        <v>#REF!</v>
      </c>
      <c r="C745" s="96" t="e">
        <f t="shared" si="5"/>
        <v>#REF!</v>
      </c>
      <c r="E745" s="87"/>
    </row>
    <row r="746" spans="1:5" ht="14.25" customHeight="1" x14ac:dyDescent="0.2">
      <c r="A746" s="82"/>
      <c r="B746" s="83" t="e">
        <f t="shared" si="4"/>
        <v>#REF!</v>
      </c>
      <c r="C746" s="96" t="e">
        <f t="shared" si="5"/>
        <v>#REF!</v>
      </c>
      <c r="E746" s="87"/>
    </row>
    <row r="747" spans="1:5" ht="14.25" customHeight="1" x14ac:dyDescent="0.2">
      <c r="A747" s="82"/>
      <c r="B747" s="83" t="e">
        <f t="shared" si="4"/>
        <v>#REF!</v>
      </c>
      <c r="C747" s="96" t="e">
        <f t="shared" si="5"/>
        <v>#REF!</v>
      </c>
      <c r="E747" s="87"/>
    </row>
    <row r="748" spans="1:5" ht="14.25" customHeight="1" x14ac:dyDescent="0.2">
      <c r="A748" s="82"/>
      <c r="B748" s="83" t="e">
        <f t="shared" si="4"/>
        <v>#REF!</v>
      </c>
      <c r="C748" s="96" t="e">
        <f t="shared" si="5"/>
        <v>#REF!</v>
      </c>
      <c r="E748" s="87"/>
    </row>
    <row r="749" spans="1:5" ht="14.25" customHeight="1" x14ac:dyDescent="0.2">
      <c r="A749" s="82"/>
      <c r="B749" s="83" t="e">
        <f t="shared" si="4"/>
        <v>#REF!</v>
      </c>
      <c r="C749" s="96" t="e">
        <f t="shared" si="5"/>
        <v>#REF!</v>
      </c>
      <c r="E749" s="87"/>
    </row>
    <row r="750" spans="1:5" ht="14.25" customHeight="1" x14ac:dyDescent="0.2">
      <c r="A750" s="82"/>
      <c r="B750" s="83" t="e">
        <f t="shared" si="4"/>
        <v>#REF!</v>
      </c>
      <c r="C750" s="96" t="e">
        <f t="shared" si="5"/>
        <v>#REF!</v>
      </c>
      <c r="E750" s="87"/>
    </row>
    <row r="751" spans="1:5" ht="14.25" customHeight="1" x14ac:dyDescent="0.2">
      <c r="A751" s="82"/>
      <c r="B751" s="83" t="e">
        <f t="shared" si="4"/>
        <v>#REF!</v>
      </c>
      <c r="C751" s="96" t="e">
        <f t="shared" si="5"/>
        <v>#REF!</v>
      </c>
      <c r="E751" s="87"/>
    </row>
    <row r="752" spans="1:5" ht="14.25" customHeight="1" x14ac:dyDescent="0.2">
      <c r="A752" s="82"/>
      <c r="B752" s="83" t="e">
        <f t="shared" si="4"/>
        <v>#REF!</v>
      </c>
      <c r="C752" s="96" t="e">
        <f t="shared" si="5"/>
        <v>#REF!</v>
      </c>
      <c r="E752" s="87"/>
    </row>
    <row r="753" spans="1:5" ht="14.25" customHeight="1" x14ac:dyDescent="0.2">
      <c r="A753" s="82"/>
      <c r="B753" s="83" t="e">
        <f t="shared" si="4"/>
        <v>#REF!</v>
      </c>
      <c r="C753" s="96" t="e">
        <f t="shared" si="5"/>
        <v>#REF!</v>
      </c>
      <c r="E753" s="87"/>
    </row>
    <row r="754" spans="1:5" ht="14.25" customHeight="1" x14ac:dyDescent="0.2">
      <c r="A754" s="82"/>
      <c r="B754" s="83" t="e">
        <f t="shared" si="4"/>
        <v>#REF!</v>
      </c>
      <c r="C754" s="96" t="e">
        <f t="shared" si="5"/>
        <v>#REF!</v>
      </c>
      <c r="E754" s="87"/>
    </row>
    <row r="755" spans="1:5" ht="14.25" customHeight="1" x14ac:dyDescent="0.2">
      <c r="A755" s="82"/>
      <c r="B755" s="83" t="e">
        <f t="shared" si="4"/>
        <v>#REF!</v>
      </c>
      <c r="C755" s="96" t="e">
        <f t="shared" si="5"/>
        <v>#REF!</v>
      </c>
      <c r="E755" s="87"/>
    </row>
    <row r="756" spans="1:5" ht="14.25" customHeight="1" x14ac:dyDescent="0.2">
      <c r="A756" s="82"/>
      <c r="B756" s="83" t="e">
        <f t="shared" si="4"/>
        <v>#REF!</v>
      </c>
      <c r="C756" s="96" t="e">
        <f t="shared" si="5"/>
        <v>#REF!</v>
      </c>
      <c r="E756" s="87"/>
    </row>
    <row r="757" spans="1:5" ht="14.25" customHeight="1" x14ac:dyDescent="0.2">
      <c r="A757" s="82"/>
      <c r="B757" s="83" t="e">
        <f t="shared" si="4"/>
        <v>#REF!</v>
      </c>
      <c r="C757" s="96" t="e">
        <f t="shared" si="5"/>
        <v>#REF!</v>
      </c>
      <c r="E757" s="87"/>
    </row>
    <row r="758" spans="1:5" ht="14.25" customHeight="1" x14ac:dyDescent="0.2">
      <c r="A758" s="82"/>
      <c r="B758" s="83" t="e">
        <f t="shared" si="4"/>
        <v>#REF!</v>
      </c>
      <c r="C758" s="96" t="e">
        <f t="shared" si="5"/>
        <v>#REF!</v>
      </c>
      <c r="E758" s="87"/>
    </row>
    <row r="759" spans="1:5" ht="14.25" customHeight="1" x14ac:dyDescent="0.2">
      <c r="A759" s="82"/>
      <c r="B759" s="83" t="e">
        <f t="shared" si="4"/>
        <v>#REF!</v>
      </c>
      <c r="C759" s="96" t="e">
        <f t="shared" si="5"/>
        <v>#REF!</v>
      </c>
      <c r="E759" s="87"/>
    </row>
    <row r="760" spans="1:5" ht="14.25" customHeight="1" x14ac:dyDescent="0.2">
      <c r="A760" s="82"/>
      <c r="B760" s="83" t="e">
        <f t="shared" si="4"/>
        <v>#REF!</v>
      </c>
      <c r="C760" s="96" t="e">
        <f t="shared" si="5"/>
        <v>#REF!</v>
      </c>
      <c r="E760" s="87"/>
    </row>
    <row r="761" spans="1:5" ht="14.25" customHeight="1" x14ac:dyDescent="0.2">
      <c r="A761" s="82"/>
      <c r="B761" s="83" t="e">
        <f t="shared" si="4"/>
        <v>#REF!</v>
      </c>
      <c r="C761" s="96" t="e">
        <f t="shared" si="5"/>
        <v>#REF!</v>
      </c>
      <c r="E761" s="87"/>
    </row>
    <row r="762" spans="1:5" ht="14.25" customHeight="1" x14ac:dyDescent="0.2">
      <c r="A762" s="82"/>
      <c r="B762" s="83" t="e">
        <f t="shared" si="4"/>
        <v>#REF!</v>
      </c>
      <c r="C762" s="96" t="e">
        <f t="shared" si="5"/>
        <v>#REF!</v>
      </c>
      <c r="E762" s="87"/>
    </row>
    <row r="763" spans="1:5" ht="14.25" customHeight="1" x14ac:dyDescent="0.2">
      <c r="A763" s="82"/>
      <c r="B763" s="83" t="e">
        <f t="shared" si="4"/>
        <v>#REF!</v>
      </c>
      <c r="C763" s="96" t="e">
        <f t="shared" si="5"/>
        <v>#REF!</v>
      </c>
      <c r="E763" s="87"/>
    </row>
    <row r="764" spans="1:5" ht="14.25" customHeight="1" x14ac:dyDescent="0.2">
      <c r="A764" s="82"/>
      <c r="B764" s="83" t="e">
        <f t="shared" si="4"/>
        <v>#REF!</v>
      </c>
      <c r="C764" s="96" t="e">
        <f t="shared" si="5"/>
        <v>#REF!</v>
      </c>
      <c r="E764" s="87"/>
    </row>
    <row r="765" spans="1:5" ht="14.25" customHeight="1" x14ac:dyDescent="0.2">
      <c r="A765" s="82"/>
      <c r="B765" s="83" t="e">
        <f t="shared" si="4"/>
        <v>#REF!</v>
      </c>
      <c r="C765" s="96" t="e">
        <f t="shared" si="5"/>
        <v>#REF!</v>
      </c>
      <c r="E765" s="87"/>
    </row>
    <row r="766" spans="1:5" ht="14.25" customHeight="1" x14ac:dyDescent="0.2">
      <c r="A766" s="82"/>
      <c r="B766" s="83" t="e">
        <f t="shared" si="4"/>
        <v>#REF!</v>
      </c>
      <c r="C766" s="96" t="e">
        <f t="shared" si="5"/>
        <v>#REF!</v>
      </c>
      <c r="E766" s="87"/>
    </row>
    <row r="767" spans="1:5" ht="14.25" customHeight="1" x14ac:dyDescent="0.2">
      <c r="A767" s="82"/>
      <c r="B767" s="83" t="e">
        <f t="shared" si="4"/>
        <v>#REF!</v>
      </c>
      <c r="C767" s="96" t="e">
        <f t="shared" si="5"/>
        <v>#REF!</v>
      </c>
      <c r="E767" s="87"/>
    </row>
    <row r="768" spans="1:5" ht="14.25" customHeight="1" x14ac:dyDescent="0.2">
      <c r="A768" s="82"/>
      <c r="B768" s="83" t="e">
        <f t="shared" si="4"/>
        <v>#REF!</v>
      </c>
      <c r="C768" s="96" t="e">
        <f t="shared" si="5"/>
        <v>#REF!</v>
      </c>
      <c r="E768" s="87"/>
    </row>
    <row r="769" spans="1:5" ht="14.25" customHeight="1" x14ac:dyDescent="0.2">
      <c r="A769" s="82"/>
      <c r="B769" s="83" t="e">
        <f t="shared" si="4"/>
        <v>#REF!</v>
      </c>
      <c r="C769" s="96" t="e">
        <f t="shared" si="5"/>
        <v>#REF!</v>
      </c>
      <c r="E769" s="87"/>
    </row>
    <row r="770" spans="1:5" ht="14.25" customHeight="1" x14ac:dyDescent="0.2">
      <c r="A770" s="82"/>
      <c r="B770" s="83" t="e">
        <f t="shared" si="4"/>
        <v>#REF!</v>
      </c>
      <c r="C770" s="96" t="e">
        <f t="shared" si="5"/>
        <v>#REF!</v>
      </c>
      <c r="E770" s="87"/>
    </row>
    <row r="771" spans="1:5" ht="14.25" customHeight="1" x14ac:dyDescent="0.2">
      <c r="A771" s="82"/>
      <c r="B771" s="83" t="e">
        <f t="shared" si="4"/>
        <v>#REF!</v>
      </c>
      <c r="C771" s="96" t="e">
        <f t="shared" si="5"/>
        <v>#REF!</v>
      </c>
      <c r="E771" s="87"/>
    </row>
    <row r="772" spans="1:5" ht="14.25" customHeight="1" x14ac:dyDescent="0.2">
      <c r="A772" s="82"/>
      <c r="B772" s="83" t="e">
        <f t="shared" si="4"/>
        <v>#REF!</v>
      </c>
      <c r="C772" s="96" t="e">
        <f t="shared" si="5"/>
        <v>#REF!</v>
      </c>
      <c r="E772" s="87"/>
    </row>
    <row r="773" spans="1:5" ht="14.25" customHeight="1" x14ac:dyDescent="0.2">
      <c r="A773" s="82"/>
      <c r="B773" s="83" t="e">
        <f t="shared" si="4"/>
        <v>#REF!</v>
      </c>
      <c r="C773" s="96" t="e">
        <f t="shared" si="5"/>
        <v>#REF!</v>
      </c>
      <c r="E773" s="87"/>
    </row>
    <row r="774" spans="1:5" ht="14.25" customHeight="1" x14ac:dyDescent="0.2">
      <c r="A774" s="82"/>
      <c r="B774" s="83" t="e">
        <f t="shared" si="4"/>
        <v>#REF!</v>
      </c>
      <c r="C774" s="96" t="e">
        <f t="shared" si="5"/>
        <v>#REF!</v>
      </c>
      <c r="E774" s="87"/>
    </row>
    <row r="775" spans="1:5" ht="14.25" customHeight="1" x14ac:dyDescent="0.2">
      <c r="A775" s="82"/>
      <c r="B775" s="83" t="e">
        <f t="shared" si="4"/>
        <v>#REF!</v>
      </c>
      <c r="C775" s="96" t="e">
        <f t="shared" si="5"/>
        <v>#REF!</v>
      </c>
      <c r="E775" s="87"/>
    </row>
    <row r="776" spans="1:5" ht="14.25" customHeight="1" x14ac:dyDescent="0.2">
      <c r="A776" s="82"/>
      <c r="B776" s="83" t="e">
        <f t="shared" si="4"/>
        <v>#REF!</v>
      </c>
      <c r="C776" s="96" t="e">
        <f t="shared" si="5"/>
        <v>#REF!</v>
      </c>
      <c r="E776" s="87"/>
    </row>
    <row r="777" spans="1:5" ht="14.25" customHeight="1" x14ac:dyDescent="0.2">
      <c r="A777" s="82"/>
      <c r="B777" s="83" t="e">
        <f t="shared" si="4"/>
        <v>#REF!</v>
      </c>
      <c r="C777" s="96" t="e">
        <f t="shared" si="5"/>
        <v>#REF!</v>
      </c>
      <c r="E777" s="87"/>
    </row>
    <row r="778" spans="1:5" ht="14.25" customHeight="1" x14ac:dyDescent="0.2">
      <c r="A778" s="82"/>
      <c r="B778" s="83" t="e">
        <f t="shared" si="4"/>
        <v>#REF!</v>
      </c>
      <c r="C778" s="96" t="e">
        <f t="shared" si="5"/>
        <v>#REF!</v>
      </c>
      <c r="E778" s="87"/>
    </row>
    <row r="779" spans="1:5" ht="14.25" customHeight="1" x14ac:dyDescent="0.2">
      <c r="A779" s="82"/>
      <c r="B779" s="83" t="e">
        <f t="shared" si="4"/>
        <v>#REF!</v>
      </c>
      <c r="C779" s="96" t="e">
        <f t="shared" si="5"/>
        <v>#REF!</v>
      </c>
      <c r="E779" s="87"/>
    </row>
    <row r="780" spans="1:5" ht="14.25" customHeight="1" x14ac:dyDescent="0.2">
      <c r="A780" s="82"/>
      <c r="B780" s="83" t="e">
        <f t="shared" si="4"/>
        <v>#REF!</v>
      </c>
      <c r="C780" s="96" t="e">
        <f t="shared" si="5"/>
        <v>#REF!</v>
      </c>
      <c r="E780" s="87"/>
    </row>
    <row r="781" spans="1:5" ht="14.25" customHeight="1" x14ac:dyDescent="0.2">
      <c r="A781" s="82"/>
      <c r="B781" s="83" t="e">
        <f t="shared" si="4"/>
        <v>#REF!</v>
      </c>
      <c r="C781" s="96" t="e">
        <f t="shared" si="5"/>
        <v>#REF!</v>
      </c>
      <c r="E781" s="87"/>
    </row>
    <row r="782" spans="1:5" ht="14.25" customHeight="1" x14ac:dyDescent="0.2">
      <c r="A782" s="82"/>
      <c r="B782" s="83" t="e">
        <f t="shared" si="4"/>
        <v>#REF!</v>
      </c>
      <c r="C782" s="96" t="e">
        <f t="shared" si="5"/>
        <v>#REF!</v>
      </c>
      <c r="E782" s="87"/>
    </row>
    <row r="783" spans="1:5" ht="14.25" customHeight="1" x14ac:dyDescent="0.2">
      <c r="A783" s="82"/>
      <c r="B783" s="83" t="e">
        <f t="shared" si="4"/>
        <v>#REF!</v>
      </c>
      <c r="C783" s="96" t="e">
        <f t="shared" si="5"/>
        <v>#REF!</v>
      </c>
      <c r="E783" s="87"/>
    </row>
    <row r="784" spans="1:5" ht="14.25" customHeight="1" x14ac:dyDescent="0.2">
      <c r="A784" s="82"/>
      <c r="B784" s="83" t="e">
        <f t="shared" si="4"/>
        <v>#REF!</v>
      </c>
      <c r="C784" s="96" t="e">
        <f t="shared" si="5"/>
        <v>#REF!</v>
      </c>
      <c r="E784" s="87"/>
    </row>
    <row r="785" spans="1:5" ht="14.25" customHeight="1" x14ac:dyDescent="0.2">
      <c r="A785" s="82"/>
      <c r="B785" s="83" t="e">
        <f t="shared" si="4"/>
        <v>#REF!</v>
      </c>
      <c r="C785" s="96" t="e">
        <f t="shared" si="5"/>
        <v>#REF!</v>
      </c>
      <c r="E785" s="87"/>
    </row>
    <row r="786" spans="1:5" ht="14.25" customHeight="1" x14ac:dyDescent="0.2">
      <c r="A786" s="82"/>
      <c r="B786" s="83" t="e">
        <f t="shared" si="4"/>
        <v>#REF!</v>
      </c>
      <c r="C786" s="96" t="e">
        <f t="shared" si="5"/>
        <v>#REF!</v>
      </c>
      <c r="E786" s="87"/>
    </row>
    <row r="787" spans="1:5" ht="14.25" customHeight="1" x14ac:dyDescent="0.2">
      <c r="A787" s="82"/>
      <c r="B787" s="83" t="e">
        <f t="shared" si="4"/>
        <v>#REF!</v>
      </c>
      <c r="C787" s="96" t="e">
        <f t="shared" si="5"/>
        <v>#REF!</v>
      </c>
      <c r="E787" s="87"/>
    </row>
    <row r="788" spans="1:5" ht="14.25" customHeight="1" x14ac:dyDescent="0.2">
      <c r="A788" s="82"/>
      <c r="B788" s="83" t="e">
        <f t="shared" si="4"/>
        <v>#REF!</v>
      </c>
      <c r="C788" s="96" t="e">
        <f t="shared" si="5"/>
        <v>#REF!</v>
      </c>
      <c r="E788" s="87"/>
    </row>
    <row r="789" spans="1:5" ht="14.25" customHeight="1" x14ac:dyDescent="0.2">
      <c r="A789" s="82"/>
      <c r="B789" s="83" t="e">
        <f t="shared" si="4"/>
        <v>#REF!</v>
      </c>
      <c r="C789" s="96" t="e">
        <f t="shared" si="5"/>
        <v>#REF!</v>
      </c>
      <c r="E789" s="87"/>
    </row>
    <row r="790" spans="1:5" ht="14.25" customHeight="1" x14ac:dyDescent="0.2">
      <c r="A790" s="82"/>
      <c r="B790" s="83" t="e">
        <f t="shared" si="4"/>
        <v>#REF!</v>
      </c>
      <c r="C790" s="96" t="e">
        <f t="shared" si="5"/>
        <v>#REF!</v>
      </c>
      <c r="E790" s="87"/>
    </row>
    <row r="791" spans="1:5" ht="14.25" customHeight="1" x14ac:dyDescent="0.2">
      <c r="A791" s="82"/>
      <c r="B791" s="83" t="e">
        <f t="shared" si="4"/>
        <v>#REF!</v>
      </c>
      <c r="C791" s="96" t="e">
        <f t="shared" si="5"/>
        <v>#REF!</v>
      </c>
      <c r="E791" s="87"/>
    </row>
    <row r="792" spans="1:5" ht="14.25" customHeight="1" x14ac:dyDescent="0.2">
      <c r="A792" s="82"/>
      <c r="B792" s="83" t="e">
        <f t="shared" si="4"/>
        <v>#REF!</v>
      </c>
      <c r="C792" s="96" t="e">
        <f t="shared" si="5"/>
        <v>#REF!</v>
      </c>
      <c r="E792" s="87"/>
    </row>
    <row r="793" spans="1:5" ht="14.25" customHeight="1" x14ac:dyDescent="0.2">
      <c r="A793" s="82"/>
      <c r="B793" s="83" t="e">
        <f t="shared" si="4"/>
        <v>#REF!</v>
      </c>
      <c r="C793" s="96" t="e">
        <f t="shared" si="5"/>
        <v>#REF!</v>
      </c>
      <c r="E793" s="87"/>
    </row>
    <row r="794" spans="1:5" ht="14.25" customHeight="1" x14ac:dyDescent="0.2">
      <c r="A794" s="82"/>
      <c r="B794" s="83" t="e">
        <f t="shared" si="4"/>
        <v>#REF!</v>
      </c>
      <c r="C794" s="96" t="e">
        <f t="shared" si="5"/>
        <v>#REF!</v>
      </c>
      <c r="E794" s="87"/>
    </row>
    <row r="795" spans="1:5" ht="14.25" customHeight="1" x14ac:dyDescent="0.2">
      <c r="A795" s="82"/>
      <c r="B795" s="83" t="e">
        <f t="shared" si="4"/>
        <v>#REF!</v>
      </c>
      <c r="C795" s="96" t="e">
        <f t="shared" si="5"/>
        <v>#REF!</v>
      </c>
      <c r="E795" s="87"/>
    </row>
    <row r="796" spans="1:5" ht="14.25" customHeight="1" x14ac:dyDescent="0.2">
      <c r="A796" s="82"/>
      <c r="B796" s="83" t="e">
        <f t="shared" si="4"/>
        <v>#REF!</v>
      </c>
      <c r="C796" s="96" t="e">
        <f t="shared" si="5"/>
        <v>#REF!</v>
      </c>
      <c r="E796" s="87"/>
    </row>
    <row r="797" spans="1:5" ht="14.25" customHeight="1" x14ac:dyDescent="0.2">
      <c r="A797" s="82"/>
      <c r="B797" s="83" t="e">
        <f t="shared" si="4"/>
        <v>#REF!</v>
      </c>
      <c r="C797" s="96" t="e">
        <f t="shared" si="5"/>
        <v>#REF!</v>
      </c>
      <c r="E797" s="87"/>
    </row>
    <row r="798" spans="1:5" ht="14.25" customHeight="1" x14ac:dyDescent="0.2">
      <c r="A798" s="82"/>
      <c r="B798" s="83" t="e">
        <f t="shared" si="4"/>
        <v>#REF!</v>
      </c>
      <c r="C798" s="96" t="e">
        <f t="shared" si="5"/>
        <v>#REF!</v>
      </c>
      <c r="E798" s="87"/>
    </row>
    <row r="799" spans="1:5" ht="14.25" customHeight="1" x14ac:dyDescent="0.2">
      <c r="A799" s="82"/>
      <c r="B799" s="83" t="e">
        <f t="shared" si="4"/>
        <v>#REF!</v>
      </c>
      <c r="C799" s="96" t="e">
        <f t="shared" si="5"/>
        <v>#REF!</v>
      </c>
      <c r="E799" s="87"/>
    </row>
    <row r="800" spans="1:5" ht="14.25" customHeight="1" x14ac:dyDescent="0.2">
      <c r="A800" s="82"/>
      <c r="B800" s="83" t="e">
        <f t="shared" si="4"/>
        <v>#REF!</v>
      </c>
      <c r="C800" s="96" t="e">
        <f t="shared" si="5"/>
        <v>#REF!</v>
      </c>
      <c r="E800" s="87"/>
    </row>
    <row r="801" spans="1:5" ht="14.25" customHeight="1" x14ac:dyDescent="0.2">
      <c r="A801" s="82"/>
      <c r="B801" s="83" t="e">
        <f t="shared" si="4"/>
        <v>#REF!</v>
      </c>
      <c r="C801" s="96" t="e">
        <f t="shared" si="5"/>
        <v>#REF!</v>
      </c>
      <c r="E801" s="87"/>
    </row>
    <row r="802" spans="1:5" ht="14.25" customHeight="1" x14ac:dyDescent="0.2">
      <c r="A802" s="82"/>
      <c r="E802" s="87"/>
    </row>
    <row r="803" spans="1:5" ht="14.25" customHeight="1" x14ac:dyDescent="0.2">
      <c r="A803" s="82"/>
      <c r="E803" s="87"/>
    </row>
    <row r="804" spans="1:5" ht="14.25" customHeight="1" x14ac:dyDescent="0.2">
      <c r="A804" s="82"/>
      <c r="E804" s="87"/>
    </row>
    <row r="805" spans="1:5" ht="14.25" customHeight="1" x14ac:dyDescent="0.2">
      <c r="A805" s="82"/>
      <c r="E805" s="87"/>
    </row>
    <row r="806" spans="1:5" ht="14.25" customHeight="1" x14ac:dyDescent="0.2">
      <c r="A806" s="82"/>
      <c r="E806" s="87"/>
    </row>
    <row r="807" spans="1:5" ht="14.25" customHeight="1" x14ac:dyDescent="0.2">
      <c r="A807" s="82"/>
      <c r="E807" s="87"/>
    </row>
    <row r="808" spans="1:5" ht="14.25" customHeight="1" x14ac:dyDescent="0.2">
      <c r="A808" s="82"/>
      <c r="E808" s="87"/>
    </row>
    <row r="809" spans="1:5" ht="14.25" customHeight="1" x14ac:dyDescent="0.2">
      <c r="A809" s="82"/>
      <c r="E809" s="87"/>
    </row>
    <row r="810" spans="1:5" ht="14.25" customHeight="1" x14ac:dyDescent="0.2">
      <c r="A810" s="82"/>
      <c r="E810" s="87"/>
    </row>
    <row r="811" spans="1:5" ht="14.25" customHeight="1" x14ac:dyDescent="0.2">
      <c r="A811" s="82"/>
      <c r="E811" s="87"/>
    </row>
    <row r="812" spans="1:5" ht="14.25" customHeight="1" x14ac:dyDescent="0.2">
      <c r="A812" s="82"/>
      <c r="E812" s="87"/>
    </row>
    <row r="813" spans="1:5" ht="14.25" customHeight="1" x14ac:dyDescent="0.2">
      <c r="A813" s="82"/>
      <c r="E813" s="87"/>
    </row>
    <row r="814" spans="1:5" ht="14.25" customHeight="1" x14ac:dyDescent="0.2">
      <c r="A814" s="82"/>
      <c r="E814" s="87"/>
    </row>
    <row r="815" spans="1:5" ht="14.25" customHeight="1" x14ac:dyDescent="0.2">
      <c r="A815" s="82"/>
      <c r="E815" s="87"/>
    </row>
    <row r="816" spans="1:5" ht="14.25" customHeight="1" x14ac:dyDescent="0.2">
      <c r="A816" s="82"/>
      <c r="E816" s="87"/>
    </row>
    <row r="817" spans="1:5" ht="14.25" customHeight="1" x14ac:dyDescent="0.2">
      <c r="A817" s="82"/>
      <c r="E817" s="87"/>
    </row>
    <row r="818" spans="1:5" ht="14.25" customHeight="1" x14ac:dyDescent="0.2">
      <c r="A818" s="82"/>
      <c r="E818" s="87"/>
    </row>
    <row r="819" spans="1:5" ht="14.25" customHeight="1" x14ac:dyDescent="0.2">
      <c r="A819" s="82"/>
      <c r="E819" s="87"/>
    </row>
    <row r="820" spans="1:5" ht="14.25" customHeight="1" x14ac:dyDescent="0.2">
      <c r="A820" s="82"/>
      <c r="E820" s="87"/>
    </row>
    <row r="821" spans="1:5" ht="14.25" customHeight="1" x14ac:dyDescent="0.2">
      <c r="A821" s="82"/>
      <c r="E821" s="87"/>
    </row>
    <row r="822" spans="1:5" ht="14.25" customHeight="1" x14ac:dyDescent="0.2">
      <c r="A822" s="82"/>
      <c r="E822" s="87"/>
    </row>
    <row r="823" spans="1:5" ht="14.25" customHeight="1" x14ac:dyDescent="0.2">
      <c r="A823" s="82"/>
      <c r="E823" s="87"/>
    </row>
    <row r="824" spans="1:5" ht="14.25" customHeight="1" x14ac:dyDescent="0.2">
      <c r="A824" s="82"/>
      <c r="E824" s="87"/>
    </row>
    <row r="825" spans="1:5" ht="14.25" customHeight="1" x14ac:dyDescent="0.2">
      <c r="A825" s="82"/>
      <c r="E825" s="87"/>
    </row>
    <row r="826" spans="1:5" ht="14.25" customHeight="1" x14ac:dyDescent="0.2">
      <c r="A826" s="82"/>
      <c r="E826" s="87"/>
    </row>
    <row r="827" spans="1:5" ht="14.25" customHeight="1" x14ac:dyDescent="0.2">
      <c r="A827" s="82"/>
      <c r="E827" s="87"/>
    </row>
    <row r="828" spans="1:5" ht="14.25" customHeight="1" x14ac:dyDescent="0.2">
      <c r="A828" s="82"/>
      <c r="E828" s="87"/>
    </row>
    <row r="829" spans="1:5" ht="14.25" customHeight="1" x14ac:dyDescent="0.2">
      <c r="A829" s="82"/>
      <c r="E829" s="87"/>
    </row>
    <row r="830" spans="1:5" ht="14.25" customHeight="1" x14ac:dyDescent="0.2">
      <c r="A830" s="82"/>
      <c r="E830" s="87"/>
    </row>
    <row r="831" spans="1:5" ht="14.25" customHeight="1" x14ac:dyDescent="0.2">
      <c r="A831" s="82"/>
      <c r="E831" s="87"/>
    </row>
    <row r="832" spans="1:5" ht="14.25" customHeight="1" x14ac:dyDescent="0.2">
      <c r="A832" s="82"/>
      <c r="E832" s="87"/>
    </row>
    <row r="833" spans="1:5" ht="14.25" customHeight="1" x14ac:dyDescent="0.2">
      <c r="A833" s="82"/>
      <c r="E833" s="87"/>
    </row>
    <row r="834" spans="1:5" ht="14.25" customHeight="1" x14ac:dyDescent="0.2">
      <c r="A834" s="82"/>
      <c r="E834" s="87"/>
    </row>
    <row r="835" spans="1:5" ht="14.25" customHeight="1" x14ac:dyDescent="0.2">
      <c r="A835" s="82"/>
      <c r="E835" s="87"/>
    </row>
    <row r="836" spans="1:5" ht="14.25" customHeight="1" x14ac:dyDescent="0.2">
      <c r="A836" s="82"/>
      <c r="E836" s="87"/>
    </row>
    <row r="837" spans="1:5" ht="14.25" customHeight="1" x14ac:dyDescent="0.2">
      <c r="A837" s="82"/>
      <c r="E837" s="87"/>
    </row>
    <row r="838" spans="1:5" ht="14.25" customHeight="1" x14ac:dyDescent="0.2">
      <c r="A838" s="82"/>
      <c r="E838" s="87"/>
    </row>
    <row r="839" spans="1:5" ht="14.25" customHeight="1" x14ac:dyDescent="0.2">
      <c r="A839" s="82"/>
      <c r="E839" s="87"/>
    </row>
    <row r="840" spans="1:5" ht="14.25" customHeight="1" x14ac:dyDescent="0.2">
      <c r="A840" s="82"/>
      <c r="E840" s="87"/>
    </row>
    <row r="841" spans="1:5" ht="14.25" customHeight="1" x14ac:dyDescent="0.2">
      <c r="A841" s="82"/>
      <c r="E841" s="87"/>
    </row>
    <row r="842" spans="1:5" ht="14.25" customHeight="1" x14ac:dyDescent="0.2">
      <c r="A842" s="82"/>
      <c r="E842" s="87"/>
    </row>
    <row r="843" spans="1:5" ht="14.25" customHeight="1" x14ac:dyDescent="0.2">
      <c r="A843" s="82"/>
      <c r="E843" s="87"/>
    </row>
    <row r="844" spans="1:5" ht="14.25" customHeight="1" x14ac:dyDescent="0.2">
      <c r="A844" s="82"/>
      <c r="E844" s="87"/>
    </row>
    <row r="845" spans="1:5" ht="14.25" customHeight="1" x14ac:dyDescent="0.2">
      <c r="A845" s="82"/>
      <c r="E845" s="87"/>
    </row>
    <row r="846" spans="1:5" ht="14.25" customHeight="1" x14ac:dyDescent="0.2">
      <c r="A846" s="82"/>
      <c r="E846" s="87"/>
    </row>
    <row r="847" spans="1:5" ht="14.25" customHeight="1" x14ac:dyDescent="0.2">
      <c r="A847" s="82"/>
      <c r="E847" s="87"/>
    </row>
    <row r="848" spans="1:5" ht="14.25" customHeight="1" x14ac:dyDescent="0.2">
      <c r="A848" s="82"/>
      <c r="E848" s="87"/>
    </row>
    <row r="849" spans="1:5" ht="14.25" customHeight="1" x14ac:dyDescent="0.2">
      <c r="A849" s="82"/>
      <c r="E849" s="87"/>
    </row>
    <row r="850" spans="1:5" ht="14.25" customHeight="1" x14ac:dyDescent="0.2">
      <c r="A850" s="82"/>
      <c r="E850" s="87"/>
    </row>
    <row r="851" spans="1:5" ht="14.25" customHeight="1" x14ac:dyDescent="0.2">
      <c r="A851" s="82"/>
      <c r="E851" s="87"/>
    </row>
    <row r="852" spans="1:5" ht="14.25" customHeight="1" x14ac:dyDescent="0.2">
      <c r="A852" s="82"/>
      <c r="E852" s="87"/>
    </row>
    <row r="853" spans="1:5" ht="14.25" customHeight="1" x14ac:dyDescent="0.2">
      <c r="A853" s="82"/>
      <c r="E853" s="87"/>
    </row>
    <row r="854" spans="1:5" ht="14.25" customHeight="1" x14ac:dyDescent="0.2">
      <c r="A854" s="82"/>
      <c r="E854" s="87"/>
    </row>
    <row r="855" spans="1:5" ht="14.25" customHeight="1" x14ac:dyDescent="0.2">
      <c r="A855" s="82"/>
      <c r="E855" s="87"/>
    </row>
    <row r="856" spans="1:5" ht="14.25" customHeight="1" x14ac:dyDescent="0.2">
      <c r="A856" s="82"/>
      <c r="E856" s="87"/>
    </row>
    <row r="857" spans="1:5" ht="14.25" customHeight="1" x14ac:dyDescent="0.2">
      <c r="A857" s="82"/>
      <c r="E857" s="87"/>
    </row>
    <row r="858" spans="1:5" ht="14.25" customHeight="1" x14ac:dyDescent="0.2">
      <c r="A858" s="82"/>
      <c r="E858" s="87"/>
    </row>
    <row r="859" spans="1:5" ht="14.25" customHeight="1" x14ac:dyDescent="0.2">
      <c r="A859" s="82"/>
      <c r="E859" s="87"/>
    </row>
    <row r="860" spans="1:5" ht="14.25" customHeight="1" x14ac:dyDescent="0.2">
      <c r="A860" s="82"/>
      <c r="E860" s="87"/>
    </row>
    <row r="861" spans="1:5" ht="14.25" customHeight="1" x14ac:dyDescent="0.2">
      <c r="A861" s="82"/>
      <c r="E861" s="87"/>
    </row>
    <row r="862" spans="1:5" ht="14.25" customHeight="1" x14ac:dyDescent="0.2">
      <c r="A862" s="82"/>
      <c r="E862" s="87"/>
    </row>
    <row r="863" spans="1:5" ht="14.25" customHeight="1" x14ac:dyDescent="0.2">
      <c r="A863" s="82"/>
      <c r="E863" s="87"/>
    </row>
    <row r="864" spans="1:5" ht="14.25" customHeight="1" x14ac:dyDescent="0.2">
      <c r="A864" s="82"/>
      <c r="E864" s="87"/>
    </row>
    <row r="865" spans="1:5" ht="14.25" customHeight="1" x14ac:dyDescent="0.2">
      <c r="A865" s="82"/>
      <c r="E865" s="87"/>
    </row>
    <row r="866" spans="1:5" ht="14.25" customHeight="1" x14ac:dyDescent="0.2">
      <c r="A866" s="82"/>
      <c r="E866" s="87"/>
    </row>
    <row r="867" spans="1:5" ht="14.25" customHeight="1" x14ac:dyDescent="0.2">
      <c r="A867" s="82"/>
      <c r="E867" s="87"/>
    </row>
    <row r="868" spans="1:5" ht="14.25" customHeight="1" x14ac:dyDescent="0.2">
      <c r="A868" s="82"/>
      <c r="E868" s="87"/>
    </row>
    <row r="869" spans="1:5" ht="14.25" customHeight="1" x14ac:dyDescent="0.2">
      <c r="A869" s="82"/>
      <c r="E869" s="87"/>
    </row>
    <row r="870" spans="1:5" ht="14.25" customHeight="1" x14ac:dyDescent="0.2">
      <c r="A870" s="82"/>
      <c r="E870" s="87"/>
    </row>
    <row r="871" spans="1:5" ht="14.25" customHeight="1" x14ac:dyDescent="0.2">
      <c r="A871" s="82"/>
      <c r="E871" s="87"/>
    </row>
    <row r="872" spans="1:5" ht="14.25" customHeight="1" x14ac:dyDescent="0.2">
      <c r="A872" s="82"/>
      <c r="E872" s="87"/>
    </row>
    <row r="873" spans="1:5" ht="14.25" customHeight="1" x14ac:dyDescent="0.2">
      <c r="A873" s="82"/>
      <c r="E873" s="87"/>
    </row>
    <row r="874" spans="1:5" ht="14.25" customHeight="1" x14ac:dyDescent="0.2">
      <c r="A874" s="82"/>
      <c r="E874" s="87"/>
    </row>
    <row r="875" spans="1:5" ht="14.25" customHeight="1" x14ac:dyDescent="0.2">
      <c r="A875" s="82"/>
      <c r="E875" s="87"/>
    </row>
    <row r="876" spans="1:5" ht="14.25" customHeight="1" x14ac:dyDescent="0.2">
      <c r="A876" s="82"/>
      <c r="E876" s="87"/>
    </row>
    <row r="877" spans="1:5" ht="14.25" customHeight="1" x14ac:dyDescent="0.2">
      <c r="A877" s="82"/>
      <c r="E877" s="87"/>
    </row>
    <row r="878" spans="1:5" ht="14.25" customHeight="1" x14ac:dyDescent="0.2">
      <c r="A878" s="82"/>
      <c r="E878" s="87"/>
    </row>
    <row r="879" spans="1:5" ht="14.25" customHeight="1" x14ac:dyDescent="0.2">
      <c r="A879" s="82"/>
      <c r="E879" s="87"/>
    </row>
    <row r="880" spans="1:5" ht="14.25" customHeight="1" x14ac:dyDescent="0.2">
      <c r="A880" s="82"/>
      <c r="E880" s="87"/>
    </row>
    <row r="881" spans="1:5" ht="14.25" customHeight="1" x14ac:dyDescent="0.2">
      <c r="A881" s="82"/>
      <c r="E881" s="87"/>
    </row>
    <row r="882" spans="1:5" ht="14.25" customHeight="1" x14ac:dyDescent="0.2">
      <c r="A882" s="82"/>
      <c r="E882" s="87"/>
    </row>
    <row r="883" spans="1:5" ht="14.25" customHeight="1" x14ac:dyDescent="0.2">
      <c r="A883" s="82"/>
      <c r="E883" s="87"/>
    </row>
    <row r="884" spans="1:5" ht="14.25" customHeight="1" x14ac:dyDescent="0.2">
      <c r="A884" s="82"/>
      <c r="E884" s="87"/>
    </row>
    <row r="885" spans="1:5" ht="14.25" customHeight="1" x14ac:dyDescent="0.2">
      <c r="A885" s="82"/>
      <c r="E885" s="87"/>
    </row>
    <row r="886" spans="1:5" ht="14.25" customHeight="1" x14ac:dyDescent="0.2">
      <c r="A886" s="82"/>
      <c r="E886" s="87"/>
    </row>
    <row r="887" spans="1:5" ht="14.25" customHeight="1" x14ac:dyDescent="0.2">
      <c r="A887" s="82"/>
      <c r="E887" s="87"/>
    </row>
    <row r="888" spans="1:5" ht="14.25" customHeight="1" x14ac:dyDescent="0.2">
      <c r="A888" s="82"/>
      <c r="E888" s="87"/>
    </row>
    <row r="889" spans="1:5" ht="14.25" customHeight="1" x14ac:dyDescent="0.2">
      <c r="A889" s="82"/>
      <c r="E889" s="87"/>
    </row>
    <row r="890" spans="1:5" ht="14.25" customHeight="1" x14ac:dyDescent="0.2">
      <c r="A890" s="82"/>
      <c r="E890" s="87"/>
    </row>
    <row r="891" spans="1:5" ht="14.25" customHeight="1" x14ac:dyDescent="0.2">
      <c r="A891" s="82"/>
      <c r="E891" s="87"/>
    </row>
    <row r="892" spans="1:5" ht="14.25" customHeight="1" x14ac:dyDescent="0.2">
      <c r="A892" s="82"/>
      <c r="E892" s="87"/>
    </row>
    <row r="893" spans="1:5" ht="14.25" customHeight="1" x14ac:dyDescent="0.2">
      <c r="A893" s="82"/>
      <c r="E893" s="87"/>
    </row>
    <row r="894" spans="1:5" ht="14.25" customHeight="1" x14ac:dyDescent="0.2">
      <c r="A894" s="82"/>
      <c r="E894" s="87"/>
    </row>
    <row r="895" spans="1:5" ht="14.25" customHeight="1" x14ac:dyDescent="0.2">
      <c r="A895" s="82"/>
      <c r="E895" s="87"/>
    </row>
    <row r="896" spans="1:5" ht="14.25" customHeight="1" x14ac:dyDescent="0.2">
      <c r="A896" s="82"/>
      <c r="E896" s="87"/>
    </row>
    <row r="897" spans="1:5" ht="14.25" customHeight="1" x14ac:dyDescent="0.2">
      <c r="A897" s="82"/>
      <c r="E897" s="87"/>
    </row>
    <row r="898" spans="1:5" ht="14.25" customHeight="1" x14ac:dyDescent="0.2">
      <c r="A898" s="82"/>
      <c r="E898" s="87"/>
    </row>
    <row r="899" spans="1:5" ht="14.25" customHeight="1" x14ac:dyDescent="0.2">
      <c r="A899" s="82"/>
      <c r="E899" s="87"/>
    </row>
    <row r="900" spans="1:5" ht="14.25" customHeight="1" x14ac:dyDescent="0.2">
      <c r="A900" s="82"/>
      <c r="E900" s="87"/>
    </row>
    <row r="901" spans="1:5" ht="14.25" customHeight="1" x14ac:dyDescent="0.2">
      <c r="A901" s="82"/>
      <c r="E901" s="87"/>
    </row>
    <row r="902" spans="1:5" ht="14.25" customHeight="1" x14ac:dyDescent="0.2">
      <c r="A902" s="82"/>
      <c r="E902" s="87"/>
    </row>
    <row r="903" spans="1:5" ht="14.25" customHeight="1" x14ac:dyDescent="0.2">
      <c r="A903" s="82"/>
      <c r="E903" s="87"/>
    </row>
    <row r="904" spans="1:5" ht="14.25" customHeight="1" x14ac:dyDescent="0.2">
      <c r="A904" s="82"/>
      <c r="E904" s="87"/>
    </row>
    <row r="905" spans="1:5" ht="14.25" customHeight="1" x14ac:dyDescent="0.2">
      <c r="A905" s="82"/>
      <c r="E905" s="87"/>
    </row>
    <row r="906" spans="1:5" ht="14.25" customHeight="1" x14ac:dyDescent="0.2">
      <c r="A906" s="82"/>
      <c r="E906" s="87"/>
    </row>
    <row r="907" spans="1:5" ht="14.25" customHeight="1" x14ac:dyDescent="0.2">
      <c r="A907" s="82"/>
      <c r="E907" s="87"/>
    </row>
    <row r="908" spans="1:5" ht="14.25" customHeight="1" x14ac:dyDescent="0.2">
      <c r="A908" s="82"/>
      <c r="E908" s="87"/>
    </row>
    <row r="909" spans="1:5" ht="14.25" customHeight="1" x14ac:dyDescent="0.2">
      <c r="A909" s="82"/>
      <c r="E909" s="87"/>
    </row>
    <row r="910" spans="1:5" ht="14.25" customHeight="1" x14ac:dyDescent="0.2">
      <c r="A910" s="82"/>
      <c r="E910" s="87"/>
    </row>
    <row r="911" spans="1:5" ht="14.25" customHeight="1" x14ac:dyDescent="0.2">
      <c r="A911" s="82"/>
      <c r="E911" s="87"/>
    </row>
    <row r="912" spans="1:5" ht="14.25" customHeight="1" x14ac:dyDescent="0.2">
      <c r="A912" s="82"/>
      <c r="E912" s="87"/>
    </row>
    <row r="913" spans="1:5" ht="14.25" customHeight="1" x14ac:dyDescent="0.2">
      <c r="A913" s="82"/>
      <c r="E913" s="87"/>
    </row>
    <row r="914" spans="1:5" ht="14.25" customHeight="1" x14ac:dyDescent="0.2">
      <c r="A914" s="82"/>
      <c r="E914" s="87"/>
    </row>
    <row r="915" spans="1:5" ht="14.25" customHeight="1" x14ac:dyDescent="0.2">
      <c r="A915" s="82"/>
      <c r="E915" s="87"/>
    </row>
    <row r="916" spans="1:5" ht="14.25" customHeight="1" x14ac:dyDescent="0.2">
      <c r="A916" s="82"/>
      <c r="E916" s="87"/>
    </row>
    <row r="917" spans="1:5" ht="14.25" customHeight="1" x14ac:dyDescent="0.2">
      <c r="A917" s="82"/>
      <c r="E917" s="87"/>
    </row>
    <row r="918" spans="1:5" ht="14.25" customHeight="1" x14ac:dyDescent="0.2">
      <c r="A918" s="82"/>
      <c r="E918" s="87"/>
    </row>
    <row r="919" spans="1:5" ht="14.25" customHeight="1" x14ac:dyDescent="0.2">
      <c r="A919" s="82"/>
      <c r="E919" s="87"/>
    </row>
    <row r="920" spans="1:5" ht="14.25" customHeight="1" x14ac:dyDescent="0.2">
      <c r="A920" s="82"/>
      <c r="E920" s="87"/>
    </row>
    <row r="921" spans="1:5" ht="14.25" customHeight="1" x14ac:dyDescent="0.2">
      <c r="A921" s="82"/>
      <c r="E921" s="87"/>
    </row>
    <row r="922" spans="1:5" ht="14.25" customHeight="1" x14ac:dyDescent="0.2">
      <c r="A922" s="82"/>
      <c r="E922" s="87"/>
    </row>
    <row r="923" spans="1:5" ht="14.25" customHeight="1" x14ac:dyDescent="0.2">
      <c r="A923" s="82"/>
      <c r="E923" s="87"/>
    </row>
    <row r="924" spans="1:5" ht="14.25" customHeight="1" x14ac:dyDescent="0.2">
      <c r="A924" s="82"/>
      <c r="E924" s="87"/>
    </row>
    <row r="925" spans="1:5" ht="14.25" customHeight="1" x14ac:dyDescent="0.2">
      <c r="A925" s="82"/>
      <c r="E925" s="87"/>
    </row>
    <row r="926" spans="1:5" ht="14.25" customHeight="1" x14ac:dyDescent="0.2">
      <c r="A926" s="82"/>
      <c r="E926" s="87"/>
    </row>
    <row r="927" spans="1:5" ht="14.25" customHeight="1" x14ac:dyDescent="0.2">
      <c r="A927" s="82"/>
      <c r="E927" s="87"/>
    </row>
    <row r="928" spans="1:5" ht="14.25" customHeight="1" x14ac:dyDescent="0.2">
      <c r="A928" s="82"/>
      <c r="E928" s="87"/>
    </row>
    <row r="929" spans="1:5" ht="14.25" customHeight="1" x14ac:dyDescent="0.2">
      <c r="A929" s="82"/>
      <c r="E929" s="87"/>
    </row>
    <row r="930" spans="1:5" ht="14.25" customHeight="1" x14ac:dyDescent="0.2">
      <c r="A930" s="82"/>
      <c r="E930" s="87"/>
    </row>
    <row r="931" spans="1:5" ht="14.25" customHeight="1" x14ac:dyDescent="0.2">
      <c r="A931" s="82"/>
      <c r="E931" s="87"/>
    </row>
    <row r="932" spans="1:5" ht="14.25" customHeight="1" x14ac:dyDescent="0.2">
      <c r="A932" s="82"/>
      <c r="E932" s="87"/>
    </row>
    <row r="933" spans="1:5" ht="14.25" customHeight="1" x14ac:dyDescent="0.2">
      <c r="A933" s="82"/>
      <c r="E933" s="87"/>
    </row>
    <row r="934" spans="1:5" ht="14.25" customHeight="1" x14ac:dyDescent="0.2">
      <c r="A934" s="82"/>
      <c r="E934" s="87"/>
    </row>
    <row r="935" spans="1:5" ht="14.25" customHeight="1" x14ac:dyDescent="0.2">
      <c r="A935" s="82"/>
      <c r="E935" s="87"/>
    </row>
    <row r="936" spans="1:5" ht="14.25" customHeight="1" x14ac:dyDescent="0.2">
      <c r="A936" s="82"/>
      <c r="E936" s="87"/>
    </row>
    <row r="937" spans="1:5" ht="14.25" customHeight="1" x14ac:dyDescent="0.2">
      <c r="A937" s="82"/>
      <c r="E937" s="87"/>
    </row>
    <row r="938" spans="1:5" ht="14.25" customHeight="1" x14ac:dyDescent="0.2">
      <c r="A938" s="82"/>
      <c r="E938" s="87"/>
    </row>
    <row r="939" spans="1:5" ht="14.25" customHeight="1" x14ac:dyDescent="0.2">
      <c r="A939" s="82"/>
      <c r="E939" s="87"/>
    </row>
    <row r="940" spans="1:5" ht="14.25" customHeight="1" x14ac:dyDescent="0.2">
      <c r="A940" s="82"/>
      <c r="E940" s="87"/>
    </row>
    <row r="941" spans="1:5" ht="14.25" customHeight="1" x14ac:dyDescent="0.2">
      <c r="A941" s="82"/>
      <c r="E941" s="87"/>
    </row>
    <row r="942" spans="1:5" ht="14.25" customHeight="1" x14ac:dyDescent="0.2">
      <c r="A942" s="82"/>
      <c r="E942" s="87"/>
    </row>
    <row r="943" spans="1:5" ht="14.25" customHeight="1" x14ac:dyDescent="0.2">
      <c r="A943" s="82"/>
      <c r="E943" s="87"/>
    </row>
    <row r="944" spans="1:5" ht="14.25" customHeight="1" x14ac:dyDescent="0.2">
      <c r="A944" s="82"/>
      <c r="E944" s="87"/>
    </row>
    <row r="945" spans="1:5" ht="14.25" customHeight="1" x14ac:dyDescent="0.2">
      <c r="A945" s="82"/>
      <c r="E945" s="87"/>
    </row>
    <row r="946" spans="1:5" ht="14.25" customHeight="1" x14ac:dyDescent="0.2">
      <c r="A946" s="82"/>
      <c r="E946" s="87"/>
    </row>
    <row r="947" spans="1:5" ht="14.25" customHeight="1" x14ac:dyDescent="0.2">
      <c r="A947" s="82"/>
      <c r="E947" s="87"/>
    </row>
    <row r="948" spans="1:5" ht="14.25" customHeight="1" x14ac:dyDescent="0.2">
      <c r="A948" s="82"/>
      <c r="E948" s="87"/>
    </row>
    <row r="949" spans="1:5" ht="14.25" customHeight="1" x14ac:dyDescent="0.2">
      <c r="A949" s="82"/>
      <c r="E949" s="87"/>
    </row>
    <row r="950" spans="1:5" ht="14.25" customHeight="1" x14ac:dyDescent="0.2">
      <c r="A950" s="82"/>
      <c r="E950" s="87"/>
    </row>
    <row r="951" spans="1:5" ht="14.25" customHeight="1" x14ac:dyDescent="0.2">
      <c r="A951" s="82"/>
      <c r="E951" s="87"/>
    </row>
    <row r="952" spans="1:5" ht="14.25" customHeight="1" x14ac:dyDescent="0.2">
      <c r="A952" s="82"/>
      <c r="E952" s="87"/>
    </row>
    <row r="953" spans="1:5" ht="14.25" customHeight="1" x14ac:dyDescent="0.2">
      <c r="A953" s="82"/>
      <c r="E953" s="87"/>
    </row>
    <row r="954" spans="1:5" ht="14.25" customHeight="1" x14ac:dyDescent="0.2">
      <c r="A954" s="82"/>
      <c r="E954" s="87"/>
    </row>
    <row r="955" spans="1:5" ht="14.25" customHeight="1" x14ac:dyDescent="0.2">
      <c r="A955" s="82"/>
      <c r="E955" s="87"/>
    </row>
    <row r="956" spans="1:5" ht="14.25" customHeight="1" x14ac:dyDescent="0.2">
      <c r="A956" s="82"/>
      <c r="E956" s="87"/>
    </row>
    <row r="957" spans="1:5" ht="14.25" customHeight="1" x14ac:dyDescent="0.2">
      <c r="A957" s="82"/>
      <c r="E957" s="87"/>
    </row>
    <row r="958" spans="1:5" ht="14.25" customHeight="1" x14ac:dyDescent="0.2">
      <c r="A958" s="82"/>
      <c r="E958" s="87"/>
    </row>
    <row r="959" spans="1:5" ht="14.25" customHeight="1" x14ac:dyDescent="0.2">
      <c r="A959" s="82"/>
      <c r="E959" s="87"/>
    </row>
    <row r="960" spans="1:5" ht="14.25" customHeight="1" x14ac:dyDescent="0.2">
      <c r="A960" s="82"/>
      <c r="E960" s="87"/>
    </row>
    <row r="961" spans="1:5" ht="14.25" customHeight="1" x14ac:dyDescent="0.2">
      <c r="A961" s="82"/>
      <c r="E961" s="87"/>
    </row>
    <row r="962" spans="1:5" ht="14.25" customHeight="1" x14ac:dyDescent="0.2">
      <c r="A962" s="82"/>
      <c r="E962" s="87"/>
    </row>
    <row r="963" spans="1:5" ht="14.25" customHeight="1" x14ac:dyDescent="0.2">
      <c r="A963" s="82"/>
      <c r="E963" s="87"/>
    </row>
    <row r="964" spans="1:5" ht="14.25" customHeight="1" x14ac:dyDescent="0.2">
      <c r="A964" s="82"/>
      <c r="E964" s="87"/>
    </row>
    <row r="965" spans="1:5" ht="14.25" customHeight="1" x14ac:dyDescent="0.2">
      <c r="A965" s="82"/>
      <c r="E965" s="87"/>
    </row>
    <row r="966" spans="1:5" ht="14.25" customHeight="1" x14ac:dyDescent="0.2">
      <c r="A966" s="82"/>
      <c r="E966" s="87"/>
    </row>
    <row r="967" spans="1:5" ht="14.25" customHeight="1" x14ac:dyDescent="0.2">
      <c r="A967" s="82"/>
      <c r="E967" s="87"/>
    </row>
    <row r="968" spans="1:5" ht="14.25" customHeight="1" x14ac:dyDescent="0.2">
      <c r="A968" s="82"/>
      <c r="E968" s="87"/>
    </row>
    <row r="969" spans="1:5" ht="14.25" customHeight="1" x14ac:dyDescent="0.2">
      <c r="A969" s="82"/>
      <c r="E969" s="87"/>
    </row>
    <row r="970" spans="1:5" ht="14.25" customHeight="1" x14ac:dyDescent="0.2">
      <c r="A970" s="82"/>
      <c r="E970" s="87"/>
    </row>
    <row r="971" spans="1:5" ht="14.25" customHeight="1" x14ac:dyDescent="0.2">
      <c r="A971" s="82"/>
      <c r="E971" s="87"/>
    </row>
    <row r="972" spans="1:5" ht="14.25" customHeight="1" x14ac:dyDescent="0.2">
      <c r="A972" s="82"/>
      <c r="E972" s="87"/>
    </row>
    <row r="973" spans="1:5" ht="14.25" customHeight="1" x14ac:dyDescent="0.2">
      <c r="A973" s="82"/>
      <c r="E973" s="87"/>
    </row>
    <row r="974" spans="1:5" ht="14.25" customHeight="1" x14ac:dyDescent="0.2">
      <c r="A974" s="82"/>
      <c r="E974" s="87"/>
    </row>
    <row r="975" spans="1:5" ht="14.25" customHeight="1" x14ac:dyDescent="0.2">
      <c r="A975" s="82"/>
      <c r="E975" s="87"/>
    </row>
    <row r="976" spans="1:5" ht="14.25" customHeight="1" x14ac:dyDescent="0.2">
      <c r="A976" s="82"/>
      <c r="E976" s="87"/>
    </row>
    <row r="977" spans="1:5" ht="14.25" customHeight="1" x14ac:dyDescent="0.2">
      <c r="A977" s="82"/>
      <c r="E977" s="87"/>
    </row>
    <row r="978" spans="1:5" ht="14.25" customHeight="1" x14ac:dyDescent="0.2">
      <c r="A978" s="82"/>
      <c r="E978" s="87"/>
    </row>
    <row r="979" spans="1:5" ht="14.25" customHeight="1" x14ac:dyDescent="0.2">
      <c r="A979" s="82"/>
      <c r="E979" s="87"/>
    </row>
    <row r="980" spans="1:5" ht="14.25" customHeight="1" x14ac:dyDescent="0.2">
      <c r="A980" s="82"/>
      <c r="E980" s="87"/>
    </row>
    <row r="981" spans="1:5" ht="14.25" customHeight="1" x14ac:dyDescent="0.2">
      <c r="A981" s="82"/>
      <c r="E981" s="87"/>
    </row>
    <row r="982" spans="1:5" ht="14.25" customHeight="1" x14ac:dyDescent="0.2">
      <c r="A982" s="82"/>
      <c r="E982" s="87"/>
    </row>
    <row r="983" spans="1:5" ht="14.25" customHeight="1" x14ac:dyDescent="0.2">
      <c r="A983" s="82"/>
      <c r="E983" s="87"/>
    </row>
    <row r="984" spans="1:5" ht="14.25" customHeight="1" x14ac:dyDescent="0.2">
      <c r="A984" s="82"/>
      <c r="E984" s="87"/>
    </row>
    <row r="985" spans="1:5" ht="14.25" customHeight="1" x14ac:dyDescent="0.2">
      <c r="A985" s="82"/>
      <c r="E985" s="87"/>
    </row>
    <row r="986" spans="1:5" ht="14.25" customHeight="1" x14ac:dyDescent="0.2">
      <c r="A986" s="82"/>
      <c r="E986" s="87"/>
    </row>
    <row r="987" spans="1:5" ht="14.25" customHeight="1" x14ac:dyDescent="0.2">
      <c r="A987" s="82"/>
      <c r="E987" s="87"/>
    </row>
    <row r="988" spans="1:5" ht="14.25" customHeight="1" x14ac:dyDescent="0.2">
      <c r="A988" s="82"/>
      <c r="E988" s="87"/>
    </row>
    <row r="989" spans="1:5" ht="14.25" customHeight="1" x14ac:dyDescent="0.2">
      <c r="A989" s="82"/>
      <c r="E989" s="87"/>
    </row>
    <row r="990" spans="1:5" ht="14.25" customHeight="1" x14ac:dyDescent="0.2">
      <c r="A990" s="82"/>
      <c r="E990" s="87"/>
    </row>
    <row r="991" spans="1:5" ht="14.25" customHeight="1" x14ac:dyDescent="0.2">
      <c r="A991" s="82"/>
      <c r="E991" s="87"/>
    </row>
    <row r="992" spans="1:5" ht="14.25" customHeight="1" x14ac:dyDescent="0.2">
      <c r="A992" s="82"/>
      <c r="E992" s="87"/>
    </row>
    <row r="993" spans="1:5" ht="14.25" customHeight="1" x14ac:dyDescent="0.2">
      <c r="A993" s="82"/>
      <c r="E993" s="87"/>
    </row>
    <row r="994" spans="1:5" ht="14.25" customHeight="1" x14ac:dyDescent="0.2">
      <c r="A994" s="82"/>
      <c r="E994" s="87"/>
    </row>
    <row r="995" spans="1:5" ht="14.25" customHeight="1" x14ac:dyDescent="0.2">
      <c r="A995" s="82"/>
      <c r="E995" s="87"/>
    </row>
    <row r="996" spans="1:5" ht="14.25" customHeight="1" x14ac:dyDescent="0.2">
      <c r="A996" s="82"/>
      <c r="E996" s="87"/>
    </row>
    <row r="997" spans="1:5" ht="14.25" customHeight="1" x14ac:dyDescent="0.2">
      <c r="A997" s="82"/>
      <c r="E997" s="87"/>
    </row>
    <row r="998" spans="1:5" ht="14.25" customHeight="1" x14ac:dyDescent="0.2">
      <c r="A998" s="82"/>
      <c r="E998" s="87"/>
    </row>
    <row r="999" spans="1:5" ht="14.25" customHeight="1" x14ac:dyDescent="0.2">
      <c r="A999" s="82"/>
      <c r="E999" s="87"/>
    </row>
    <row r="1000" spans="1:5" ht="14.25" customHeight="1" x14ac:dyDescent="0.2">
      <c r="A1000" s="82"/>
      <c r="E1000" s="87"/>
    </row>
  </sheetData>
  <autoFilter ref="A1:K437" xr:uid="{00000000-0009-0000-0000-000005000000}"/>
  <conditionalFormatting sqref="B1:D1 B4:B801 B802:D1000">
    <cfRule type="cellIs" dxfId="137" priority="1" operator="lessThan">
      <formula>0</formula>
    </cfRule>
  </conditionalFormatting>
  <conditionalFormatting sqref="D3:D801">
    <cfRule type="cellIs" dxfId="136" priority="2" operator="lessThan">
      <formula>0</formula>
    </cfRule>
  </conditionalFormatting>
  <dataValidations count="1">
    <dataValidation type="list" allowBlank="1" showErrorMessage="1" sqref="A554:A1000" xr:uid="{00000000-0002-0000-0500-000001000000}">
      <formula1>$A$6:$A$253</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showErrorMessage="1" xr:uid="{00000000-0002-0000-0500-000000000000}">
          <x14:formula1>
            <xm:f>Kostensoorts!$A$8:$A$266</xm:f>
          </x14:formula1>
          <xm:sqref>A1:A2</xm:sqref>
        </x14:dataValidation>
        <x14:dataValidation type="list" allowBlank="1" showErrorMessage="1" xr:uid="{00000000-0002-0000-0500-000002000000}">
          <x14:formula1>
            <xm:f>Kostensoorts!$A$3:$A$306</xm:f>
          </x14:formula1>
          <xm:sqref>A3 A6:A52 A58:A61 A63 A65 A67:A77 A79 A82:A84 A89 A92:A99 A104 A107 A111:A553</xm:sqref>
        </x14:dataValidation>
        <x14:dataValidation type="list" allowBlank="1" showErrorMessage="1" xr:uid="{00000000-0002-0000-0500-000003000000}">
          <x14:formula1>
            <xm:f>Kostensoorts!$A$3:$A$1039</xm:f>
          </x14:formula1>
          <xm:sqref>A4:A5 A53:A57 A62 A64 A66 A78 A80:A81 A85:A88 A90:A91 A100:A103 A105:A106 A108:A110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BE8EB"/>
  </sheetPr>
  <dimension ref="A1:AK2362"/>
  <sheetViews>
    <sheetView tabSelected="1" zoomScale="83" zoomScaleNormal="76" workbookViewId="0">
      <pane ySplit="1" topLeftCell="A657" activePane="bottomLeft" state="frozen"/>
      <selection pane="bottomLeft" activeCell="F670" sqref="F670"/>
    </sheetView>
  </sheetViews>
  <sheetFormatPr baseColWidth="10" defaultColWidth="14.5" defaultRowHeight="15" customHeight="1" outlineLevelCol="1" x14ac:dyDescent="0.2"/>
  <cols>
    <col min="1" max="1" width="30.33203125" customWidth="1"/>
    <col min="2" max="2" width="11.5" customWidth="1" outlineLevel="1"/>
    <col min="3" max="3" width="14.5" outlineLevel="1"/>
    <col min="4" max="4" width="15.5" customWidth="1" outlineLevel="1"/>
    <col min="5" max="5" width="14.83203125" customWidth="1"/>
    <col min="6" max="6" width="28.83203125" customWidth="1"/>
    <col min="7" max="7" width="24" hidden="1" customWidth="1" outlineLevel="1"/>
    <col min="8" max="8" width="5.83203125" hidden="1" customWidth="1" outlineLevel="1"/>
    <col min="9" max="9" width="9" customWidth="1" collapsed="1"/>
    <col min="10" max="10" width="11" customWidth="1"/>
    <col min="11" max="11" width="12" customWidth="1"/>
    <col min="12" max="12" width="10.33203125" customWidth="1"/>
    <col min="13" max="13" width="35.33203125" hidden="1" customWidth="1" outlineLevel="1"/>
    <col min="14" max="14" width="13.5" hidden="1" customWidth="1" outlineLevel="1"/>
    <col min="15" max="15" width="34.6640625" hidden="1" customWidth="1" outlineLevel="1"/>
    <col min="16" max="16" width="35.33203125" customWidth="1" collapsed="1"/>
    <col min="17" max="37" width="10.83203125" customWidth="1"/>
  </cols>
  <sheetData>
    <row r="1" spans="1:37" ht="14.25" customHeight="1" x14ac:dyDescent="0.2">
      <c r="A1" s="101" t="s">
        <v>351</v>
      </c>
      <c r="B1" s="102" t="s">
        <v>331</v>
      </c>
      <c r="C1" s="103" t="s">
        <v>352</v>
      </c>
      <c r="D1" s="104" t="s">
        <v>353</v>
      </c>
      <c r="E1" s="105" t="s">
        <v>354</v>
      </c>
      <c r="F1" s="101" t="s">
        <v>355</v>
      </c>
      <c r="G1" s="106" t="s">
        <v>356</v>
      </c>
      <c r="H1" s="103" t="s">
        <v>357</v>
      </c>
      <c r="I1" s="104" t="s">
        <v>358</v>
      </c>
      <c r="J1" s="105" t="s">
        <v>359</v>
      </c>
      <c r="K1" s="107" t="s">
        <v>360</v>
      </c>
      <c r="L1" s="108" t="s">
        <v>361</v>
      </c>
      <c r="M1" s="79" t="s">
        <v>362</v>
      </c>
      <c r="N1" s="79" t="s">
        <v>363</v>
      </c>
      <c r="O1" s="79" t="s">
        <v>364</v>
      </c>
      <c r="P1" s="103" t="s">
        <v>365</v>
      </c>
      <c r="Q1" s="109"/>
      <c r="R1" s="109"/>
      <c r="S1" s="109"/>
      <c r="T1" s="109"/>
      <c r="U1" s="109"/>
      <c r="V1" s="109"/>
      <c r="W1" s="109"/>
      <c r="X1" s="109"/>
      <c r="Y1" s="109"/>
      <c r="Z1" s="109"/>
      <c r="AA1" s="109"/>
      <c r="AB1" s="109"/>
      <c r="AC1" s="109"/>
      <c r="AD1" s="109"/>
      <c r="AE1" s="109"/>
      <c r="AF1" s="109"/>
      <c r="AG1" s="109"/>
      <c r="AH1" s="109"/>
      <c r="AI1" s="109"/>
      <c r="AJ1" s="109"/>
      <c r="AK1" s="109"/>
    </row>
    <row r="2" spans="1:37" ht="14.25" customHeight="1" x14ac:dyDescent="0.2">
      <c r="A2" s="572" t="s">
        <v>919</v>
      </c>
      <c r="B2" s="110">
        <f t="shared" ref="B2:B65" si="0">_xlfn.NUMBERVALUE(L2)*0.01</f>
        <v>6.57</v>
      </c>
      <c r="C2" s="575">
        <v>45944</v>
      </c>
      <c r="D2" s="569">
        <v>45946</v>
      </c>
      <c r="E2" s="569">
        <v>45946</v>
      </c>
      <c r="F2" t="s">
        <v>739</v>
      </c>
      <c r="G2" t="s">
        <v>370</v>
      </c>
      <c r="H2" t="s">
        <v>367</v>
      </c>
      <c r="I2" t="s">
        <v>368</v>
      </c>
      <c r="J2" t="s">
        <v>696</v>
      </c>
      <c r="K2" t="s">
        <v>697</v>
      </c>
      <c r="L2" t="s">
        <v>698</v>
      </c>
      <c r="M2" t="s">
        <v>740</v>
      </c>
      <c r="N2" t="s">
        <v>741</v>
      </c>
      <c r="O2" t="s">
        <v>742</v>
      </c>
      <c r="P2" t="s">
        <v>701</v>
      </c>
      <c r="Q2" t="s">
        <v>370</v>
      </c>
    </row>
    <row r="3" spans="1:37" ht="14.25" customHeight="1" x14ac:dyDescent="0.2">
      <c r="A3" s="572" t="s">
        <v>919</v>
      </c>
      <c r="B3" s="110">
        <f t="shared" si="0"/>
        <v>6.5200000000000005</v>
      </c>
      <c r="C3" s="575">
        <v>45944</v>
      </c>
      <c r="D3" s="569">
        <v>45946</v>
      </c>
      <c r="E3" s="569">
        <v>45946</v>
      </c>
      <c r="F3" t="s">
        <v>743</v>
      </c>
      <c r="G3" t="s">
        <v>370</v>
      </c>
      <c r="H3" t="s">
        <v>367</v>
      </c>
      <c r="I3" t="s">
        <v>368</v>
      </c>
      <c r="J3" t="s">
        <v>696</v>
      </c>
      <c r="K3" t="s">
        <v>744</v>
      </c>
      <c r="L3" t="s">
        <v>745</v>
      </c>
      <c r="M3" t="s">
        <v>746</v>
      </c>
      <c r="N3" t="s">
        <v>747</v>
      </c>
      <c r="O3" t="s">
        <v>748</v>
      </c>
      <c r="P3" t="s">
        <v>701</v>
      </c>
      <c r="Q3" t="s">
        <v>370</v>
      </c>
    </row>
    <row r="4" spans="1:37" ht="14.25" customHeight="1" x14ac:dyDescent="0.2">
      <c r="A4" s="572" t="s">
        <v>919</v>
      </c>
      <c r="B4" s="110">
        <f t="shared" si="0"/>
        <v>6.5200000000000005</v>
      </c>
      <c r="C4" s="575">
        <v>45944</v>
      </c>
      <c r="D4" s="569">
        <v>45946</v>
      </c>
      <c r="E4" s="569">
        <v>45946</v>
      </c>
      <c r="F4" t="s">
        <v>749</v>
      </c>
      <c r="G4" t="s">
        <v>370</v>
      </c>
      <c r="H4" t="s">
        <v>367</v>
      </c>
      <c r="I4" t="s">
        <v>368</v>
      </c>
      <c r="J4" t="s">
        <v>696</v>
      </c>
      <c r="K4" t="s">
        <v>744</v>
      </c>
      <c r="L4" t="s">
        <v>745</v>
      </c>
      <c r="M4" t="s">
        <v>750</v>
      </c>
      <c r="N4" t="s">
        <v>747</v>
      </c>
      <c r="O4" t="s">
        <v>751</v>
      </c>
      <c r="P4" t="s">
        <v>701</v>
      </c>
      <c r="Q4" t="s">
        <v>370</v>
      </c>
    </row>
    <row r="5" spans="1:37" ht="14.25" customHeight="1" x14ac:dyDescent="0.2">
      <c r="A5" s="572" t="s">
        <v>919</v>
      </c>
      <c r="B5" s="110">
        <f t="shared" si="0"/>
        <v>6.5200000000000005</v>
      </c>
      <c r="C5" s="575">
        <v>45944</v>
      </c>
      <c r="D5" s="569">
        <v>45946</v>
      </c>
      <c r="E5" s="569">
        <v>45946</v>
      </c>
      <c r="F5" t="s">
        <v>752</v>
      </c>
      <c r="G5" t="s">
        <v>370</v>
      </c>
      <c r="H5" t="s">
        <v>367</v>
      </c>
      <c r="I5" t="s">
        <v>368</v>
      </c>
      <c r="J5" t="s">
        <v>696</v>
      </c>
      <c r="K5" t="s">
        <v>744</v>
      </c>
      <c r="L5" t="s">
        <v>745</v>
      </c>
      <c r="M5" t="s">
        <v>753</v>
      </c>
      <c r="N5" t="s">
        <v>747</v>
      </c>
      <c r="O5" t="s">
        <v>754</v>
      </c>
      <c r="P5" t="s">
        <v>701</v>
      </c>
      <c r="Q5" t="s">
        <v>370</v>
      </c>
    </row>
    <row r="6" spans="1:37" ht="14.25" customHeight="1" x14ac:dyDescent="0.2">
      <c r="A6" s="572" t="s">
        <v>919</v>
      </c>
      <c r="B6" s="110">
        <f t="shared" si="0"/>
        <v>6.5200000000000005</v>
      </c>
      <c r="C6" s="575">
        <v>45944</v>
      </c>
      <c r="D6" s="569">
        <v>45946</v>
      </c>
      <c r="E6" s="569">
        <v>45946</v>
      </c>
      <c r="F6" t="s">
        <v>755</v>
      </c>
      <c r="G6" t="s">
        <v>370</v>
      </c>
      <c r="H6" t="s">
        <v>367</v>
      </c>
      <c r="I6" t="s">
        <v>368</v>
      </c>
      <c r="J6" t="s">
        <v>696</v>
      </c>
      <c r="K6" t="s">
        <v>744</v>
      </c>
      <c r="L6" t="s">
        <v>745</v>
      </c>
      <c r="M6" t="s">
        <v>756</v>
      </c>
      <c r="N6" t="s">
        <v>747</v>
      </c>
      <c r="O6" t="s">
        <v>757</v>
      </c>
      <c r="P6" t="s">
        <v>701</v>
      </c>
      <c r="Q6" t="s">
        <v>370</v>
      </c>
    </row>
    <row r="7" spans="1:37" ht="14.25" customHeight="1" x14ac:dyDescent="0.2">
      <c r="A7" s="572" t="s">
        <v>919</v>
      </c>
      <c r="B7" s="110">
        <f t="shared" si="0"/>
        <v>15.4</v>
      </c>
      <c r="C7" s="575">
        <v>45944</v>
      </c>
      <c r="D7" s="569">
        <v>45946</v>
      </c>
      <c r="E7" s="569">
        <v>45946</v>
      </c>
      <c r="F7" t="s">
        <v>758</v>
      </c>
      <c r="G7" t="s">
        <v>370</v>
      </c>
      <c r="H7" t="s">
        <v>367</v>
      </c>
      <c r="I7" t="s">
        <v>368</v>
      </c>
      <c r="J7" t="s">
        <v>759</v>
      </c>
      <c r="K7" t="s">
        <v>760</v>
      </c>
      <c r="L7" t="s">
        <v>761</v>
      </c>
      <c r="M7" t="s">
        <v>762</v>
      </c>
      <c r="N7" t="s">
        <v>741</v>
      </c>
      <c r="O7" t="s">
        <v>763</v>
      </c>
      <c r="P7" t="s">
        <v>701</v>
      </c>
      <c r="Q7" t="s">
        <v>370</v>
      </c>
    </row>
    <row r="8" spans="1:37" ht="14.25" customHeight="1" x14ac:dyDescent="0.2">
      <c r="A8" s="572" t="s">
        <v>920</v>
      </c>
      <c r="B8" s="110">
        <f t="shared" si="0"/>
        <v>8.5299999999999994</v>
      </c>
      <c r="C8" s="575">
        <v>45944</v>
      </c>
      <c r="D8" s="569">
        <v>45946</v>
      </c>
      <c r="E8" s="569">
        <v>45946</v>
      </c>
      <c r="F8" t="s">
        <v>764</v>
      </c>
      <c r="G8" t="s">
        <v>370</v>
      </c>
      <c r="H8" t="s">
        <v>367</v>
      </c>
      <c r="I8" t="s">
        <v>368</v>
      </c>
      <c r="J8" t="s">
        <v>765</v>
      </c>
      <c r="K8" t="s">
        <v>766</v>
      </c>
      <c r="L8" t="s">
        <v>767</v>
      </c>
      <c r="M8" t="s">
        <v>768</v>
      </c>
      <c r="N8" t="s">
        <v>741</v>
      </c>
      <c r="O8" t="s">
        <v>769</v>
      </c>
      <c r="P8" t="s">
        <v>701</v>
      </c>
      <c r="Q8" t="s">
        <v>370</v>
      </c>
    </row>
    <row r="9" spans="1:37" ht="14.25" customHeight="1" x14ac:dyDescent="0.2">
      <c r="A9" s="572" t="s">
        <v>920</v>
      </c>
      <c r="B9" s="110">
        <f t="shared" si="0"/>
        <v>8.5299999999999994</v>
      </c>
      <c r="C9" s="575">
        <v>45944</v>
      </c>
      <c r="D9" s="569">
        <v>45946</v>
      </c>
      <c r="E9" s="569">
        <v>45946</v>
      </c>
      <c r="F9" t="s">
        <v>770</v>
      </c>
      <c r="G9" t="s">
        <v>370</v>
      </c>
      <c r="H9" t="s">
        <v>367</v>
      </c>
      <c r="I9" t="s">
        <v>368</v>
      </c>
      <c r="J9" t="s">
        <v>765</v>
      </c>
      <c r="K9" t="s">
        <v>766</v>
      </c>
      <c r="L9" t="s">
        <v>767</v>
      </c>
      <c r="M9" t="s">
        <v>771</v>
      </c>
      <c r="N9" t="s">
        <v>741</v>
      </c>
      <c r="O9" t="s">
        <v>772</v>
      </c>
      <c r="P9" t="s">
        <v>701</v>
      </c>
      <c r="Q9" t="s">
        <v>370</v>
      </c>
    </row>
    <row r="10" spans="1:37" ht="14.25" customHeight="1" x14ac:dyDescent="0.2">
      <c r="A10" s="572" t="s">
        <v>919</v>
      </c>
      <c r="B10" s="110">
        <f t="shared" si="0"/>
        <v>6.5200000000000005</v>
      </c>
      <c r="C10" s="575">
        <v>45944</v>
      </c>
      <c r="D10" s="569">
        <v>45946</v>
      </c>
      <c r="E10" s="569">
        <v>45946</v>
      </c>
      <c r="F10" t="s">
        <v>773</v>
      </c>
      <c r="G10" t="s">
        <v>370</v>
      </c>
      <c r="H10" t="s">
        <v>367</v>
      </c>
      <c r="I10" t="s">
        <v>368</v>
      </c>
      <c r="J10" t="s">
        <v>696</v>
      </c>
      <c r="K10" t="s">
        <v>744</v>
      </c>
      <c r="L10" t="s">
        <v>745</v>
      </c>
      <c r="M10" t="s">
        <v>774</v>
      </c>
      <c r="N10" t="s">
        <v>747</v>
      </c>
      <c r="O10" t="s">
        <v>775</v>
      </c>
      <c r="P10" t="s">
        <v>701</v>
      </c>
      <c r="Q10" t="s">
        <v>370</v>
      </c>
    </row>
    <row r="11" spans="1:37" ht="14.25" customHeight="1" x14ac:dyDescent="0.2">
      <c r="A11" s="572" t="s">
        <v>919</v>
      </c>
      <c r="B11" s="110">
        <f t="shared" si="0"/>
        <v>6.5200000000000005</v>
      </c>
      <c r="C11" s="575">
        <v>45944</v>
      </c>
      <c r="D11" s="569">
        <v>45946</v>
      </c>
      <c r="E11" s="569">
        <v>45946</v>
      </c>
      <c r="F11" t="s">
        <v>776</v>
      </c>
      <c r="G11" t="s">
        <v>370</v>
      </c>
      <c r="H11" t="s">
        <v>367</v>
      </c>
      <c r="I11" t="s">
        <v>368</v>
      </c>
      <c r="J11" t="s">
        <v>696</v>
      </c>
      <c r="K11" t="s">
        <v>744</v>
      </c>
      <c r="L11" t="s">
        <v>745</v>
      </c>
      <c r="M11" t="s">
        <v>777</v>
      </c>
      <c r="N11" t="s">
        <v>747</v>
      </c>
      <c r="O11" t="s">
        <v>778</v>
      </c>
      <c r="P11" t="s">
        <v>701</v>
      </c>
      <c r="Q11" t="s">
        <v>370</v>
      </c>
    </row>
    <row r="12" spans="1:37" ht="14.25" customHeight="1" x14ac:dyDescent="0.2">
      <c r="A12" s="572" t="s">
        <v>919</v>
      </c>
      <c r="B12" s="110">
        <f t="shared" si="0"/>
        <v>6.57</v>
      </c>
      <c r="C12" s="575">
        <v>45944</v>
      </c>
      <c r="D12" s="569">
        <v>45946</v>
      </c>
      <c r="E12" s="569">
        <v>45946</v>
      </c>
      <c r="F12" t="s">
        <v>779</v>
      </c>
      <c r="G12" t="s">
        <v>370</v>
      </c>
      <c r="H12" t="s">
        <v>367</v>
      </c>
      <c r="I12" t="s">
        <v>368</v>
      </c>
      <c r="J12" t="s">
        <v>696</v>
      </c>
      <c r="K12" t="s">
        <v>697</v>
      </c>
      <c r="L12" t="s">
        <v>698</v>
      </c>
      <c r="M12" t="s">
        <v>780</v>
      </c>
      <c r="N12" t="s">
        <v>781</v>
      </c>
      <c r="O12" t="s">
        <v>782</v>
      </c>
      <c r="P12" t="s">
        <v>701</v>
      </c>
      <c r="Q12" t="s">
        <v>370</v>
      </c>
    </row>
    <row r="13" spans="1:37" ht="14.25" customHeight="1" x14ac:dyDescent="0.2">
      <c r="A13" s="572" t="s">
        <v>920</v>
      </c>
      <c r="B13" s="110">
        <f t="shared" si="0"/>
        <v>8.5299999999999994</v>
      </c>
      <c r="C13" s="575">
        <v>45944</v>
      </c>
      <c r="D13" s="569">
        <v>45946</v>
      </c>
      <c r="E13" s="569">
        <v>45946</v>
      </c>
      <c r="F13" t="s">
        <v>783</v>
      </c>
      <c r="G13" t="s">
        <v>370</v>
      </c>
      <c r="H13" t="s">
        <v>367</v>
      </c>
      <c r="I13" t="s">
        <v>368</v>
      </c>
      <c r="J13" t="s">
        <v>765</v>
      </c>
      <c r="K13" t="s">
        <v>766</v>
      </c>
      <c r="L13" t="s">
        <v>767</v>
      </c>
      <c r="M13" t="s">
        <v>784</v>
      </c>
      <c r="N13" t="s">
        <v>781</v>
      </c>
      <c r="O13" t="s">
        <v>785</v>
      </c>
      <c r="P13" t="s">
        <v>701</v>
      </c>
      <c r="Q13" t="s">
        <v>370</v>
      </c>
    </row>
    <row r="14" spans="1:37" ht="14.25" customHeight="1" x14ac:dyDescent="0.2">
      <c r="A14" s="572" t="s">
        <v>919</v>
      </c>
      <c r="B14" s="110">
        <f t="shared" si="0"/>
        <v>15.3</v>
      </c>
      <c r="C14" s="575">
        <v>45944</v>
      </c>
      <c r="D14" s="569">
        <v>45946</v>
      </c>
      <c r="E14" s="569">
        <v>45946</v>
      </c>
      <c r="F14" t="s">
        <v>786</v>
      </c>
      <c r="G14" t="s">
        <v>370</v>
      </c>
      <c r="H14" t="s">
        <v>367</v>
      </c>
      <c r="I14" t="s">
        <v>368</v>
      </c>
      <c r="J14" t="s">
        <v>759</v>
      </c>
      <c r="K14" t="s">
        <v>787</v>
      </c>
      <c r="L14" t="s">
        <v>788</v>
      </c>
      <c r="M14" t="s">
        <v>789</v>
      </c>
      <c r="N14" t="s">
        <v>747</v>
      </c>
      <c r="O14" t="s">
        <v>790</v>
      </c>
      <c r="P14" t="s">
        <v>701</v>
      </c>
      <c r="Q14" t="s">
        <v>370</v>
      </c>
    </row>
    <row r="15" spans="1:37" ht="14.25" customHeight="1" x14ac:dyDescent="0.2">
      <c r="A15" s="572" t="s">
        <v>919</v>
      </c>
      <c r="B15" s="110">
        <f t="shared" si="0"/>
        <v>6.57</v>
      </c>
      <c r="C15" s="575">
        <v>45944</v>
      </c>
      <c r="D15" s="569">
        <v>45946</v>
      </c>
      <c r="E15" s="569">
        <v>45946</v>
      </c>
      <c r="F15" t="s">
        <v>791</v>
      </c>
      <c r="G15" t="s">
        <v>370</v>
      </c>
      <c r="H15" t="s">
        <v>367</v>
      </c>
      <c r="I15" t="s">
        <v>368</v>
      </c>
      <c r="J15" t="s">
        <v>696</v>
      </c>
      <c r="K15" t="s">
        <v>697</v>
      </c>
      <c r="L15" t="s">
        <v>698</v>
      </c>
      <c r="M15" t="s">
        <v>792</v>
      </c>
      <c r="N15" t="s">
        <v>741</v>
      </c>
      <c r="O15" t="s">
        <v>793</v>
      </c>
      <c r="P15" t="s">
        <v>701</v>
      </c>
      <c r="Q15" t="s">
        <v>370</v>
      </c>
    </row>
    <row r="16" spans="1:37" ht="14.25" customHeight="1" x14ac:dyDescent="0.2">
      <c r="A16" s="572" t="s">
        <v>919</v>
      </c>
      <c r="B16" s="110">
        <f t="shared" si="0"/>
        <v>6.57</v>
      </c>
      <c r="C16" s="575">
        <v>45944</v>
      </c>
      <c r="D16" s="569">
        <v>45946</v>
      </c>
      <c r="E16" s="569">
        <v>45946</v>
      </c>
      <c r="F16" t="s">
        <v>794</v>
      </c>
      <c r="G16" t="s">
        <v>370</v>
      </c>
      <c r="H16" t="s">
        <v>367</v>
      </c>
      <c r="I16" t="s">
        <v>368</v>
      </c>
      <c r="J16" t="s">
        <v>696</v>
      </c>
      <c r="K16" t="s">
        <v>697</v>
      </c>
      <c r="L16" t="s">
        <v>698</v>
      </c>
      <c r="M16" t="s">
        <v>795</v>
      </c>
      <c r="N16" t="s">
        <v>741</v>
      </c>
      <c r="O16" t="s">
        <v>796</v>
      </c>
      <c r="P16" t="s">
        <v>701</v>
      </c>
      <c r="Q16" t="s">
        <v>370</v>
      </c>
    </row>
    <row r="17" spans="1:17" ht="14.25" customHeight="1" x14ac:dyDescent="0.2">
      <c r="A17" s="572" t="s">
        <v>919</v>
      </c>
      <c r="B17" s="110">
        <f t="shared" si="0"/>
        <v>6.57</v>
      </c>
      <c r="C17" s="575">
        <v>45944</v>
      </c>
      <c r="D17" s="569">
        <v>45946</v>
      </c>
      <c r="E17" s="569">
        <v>45946</v>
      </c>
      <c r="F17" t="s">
        <v>797</v>
      </c>
      <c r="G17" t="s">
        <v>370</v>
      </c>
      <c r="H17" t="s">
        <v>367</v>
      </c>
      <c r="I17" t="s">
        <v>368</v>
      </c>
      <c r="J17" t="s">
        <v>696</v>
      </c>
      <c r="K17" t="s">
        <v>697</v>
      </c>
      <c r="L17" t="s">
        <v>698</v>
      </c>
      <c r="M17" t="s">
        <v>798</v>
      </c>
      <c r="N17" t="s">
        <v>741</v>
      </c>
      <c r="O17" t="s">
        <v>799</v>
      </c>
      <c r="P17" t="s">
        <v>701</v>
      </c>
      <c r="Q17" t="s">
        <v>370</v>
      </c>
    </row>
    <row r="18" spans="1:17" ht="14.25" customHeight="1" x14ac:dyDescent="0.2">
      <c r="A18" s="572" t="s">
        <v>919</v>
      </c>
      <c r="B18" s="110">
        <f t="shared" si="0"/>
        <v>6.57</v>
      </c>
      <c r="C18" s="575">
        <v>45944</v>
      </c>
      <c r="D18" s="569">
        <v>45946</v>
      </c>
      <c r="E18" s="569">
        <v>45946</v>
      </c>
      <c r="F18" t="s">
        <v>800</v>
      </c>
      <c r="G18" t="s">
        <v>801</v>
      </c>
      <c r="H18" t="s">
        <v>367</v>
      </c>
      <c r="I18" t="s">
        <v>368</v>
      </c>
      <c r="J18" t="s">
        <v>696</v>
      </c>
      <c r="K18" t="s">
        <v>697</v>
      </c>
      <c r="L18" t="s">
        <v>698</v>
      </c>
      <c r="M18" t="s">
        <v>802</v>
      </c>
      <c r="N18" t="s">
        <v>369</v>
      </c>
      <c r="O18" t="s">
        <v>803</v>
      </c>
      <c r="P18" t="s">
        <v>701</v>
      </c>
      <c r="Q18" t="s">
        <v>370</v>
      </c>
    </row>
    <row r="19" spans="1:17" ht="14.25" customHeight="1" x14ac:dyDescent="0.2">
      <c r="A19" s="572" t="s">
        <v>919</v>
      </c>
      <c r="B19" s="110">
        <f t="shared" si="0"/>
        <v>6.5200000000000005</v>
      </c>
      <c r="C19" s="575">
        <v>45944</v>
      </c>
      <c r="D19" s="569">
        <v>45946</v>
      </c>
      <c r="E19" s="569">
        <v>45946</v>
      </c>
      <c r="F19" t="s">
        <v>804</v>
      </c>
      <c r="G19" t="s">
        <v>370</v>
      </c>
      <c r="H19" t="s">
        <v>367</v>
      </c>
      <c r="I19" t="s">
        <v>368</v>
      </c>
      <c r="J19" t="s">
        <v>696</v>
      </c>
      <c r="K19" t="s">
        <v>744</v>
      </c>
      <c r="L19" t="s">
        <v>745</v>
      </c>
      <c r="M19" t="s">
        <v>805</v>
      </c>
      <c r="N19" t="s">
        <v>747</v>
      </c>
      <c r="O19" s="574" t="s">
        <v>806</v>
      </c>
      <c r="P19" t="s">
        <v>701</v>
      </c>
      <c r="Q19" t="s">
        <v>370</v>
      </c>
    </row>
    <row r="20" spans="1:17" ht="14.25" customHeight="1" x14ac:dyDescent="0.2">
      <c r="A20" s="572" t="s">
        <v>919</v>
      </c>
      <c r="B20" s="110">
        <f t="shared" si="0"/>
        <v>6.57</v>
      </c>
      <c r="C20" s="575">
        <v>45944</v>
      </c>
      <c r="D20" s="569">
        <v>45946</v>
      </c>
      <c r="E20" s="569">
        <v>45946</v>
      </c>
      <c r="F20" t="s">
        <v>807</v>
      </c>
      <c r="G20" t="s">
        <v>370</v>
      </c>
      <c r="H20" t="s">
        <v>367</v>
      </c>
      <c r="I20" t="s">
        <v>368</v>
      </c>
      <c r="J20" t="s">
        <v>696</v>
      </c>
      <c r="K20" t="s">
        <v>697</v>
      </c>
      <c r="L20" t="s">
        <v>698</v>
      </c>
      <c r="M20" t="s">
        <v>808</v>
      </c>
      <c r="N20" t="s">
        <v>741</v>
      </c>
      <c r="O20" t="s">
        <v>809</v>
      </c>
      <c r="P20" t="s">
        <v>701</v>
      </c>
      <c r="Q20" t="s">
        <v>370</v>
      </c>
    </row>
    <row r="21" spans="1:17" ht="14.25" customHeight="1" x14ac:dyDescent="0.2">
      <c r="A21" s="572" t="s">
        <v>919</v>
      </c>
      <c r="B21" s="110">
        <f t="shared" si="0"/>
        <v>6.5200000000000005</v>
      </c>
      <c r="C21" s="575">
        <v>45944</v>
      </c>
      <c r="D21" s="569">
        <v>45946</v>
      </c>
      <c r="E21" s="569">
        <v>45946</v>
      </c>
      <c r="F21" t="s">
        <v>810</v>
      </c>
      <c r="G21" t="s">
        <v>370</v>
      </c>
      <c r="H21" t="s">
        <v>367</v>
      </c>
      <c r="I21" t="s">
        <v>368</v>
      </c>
      <c r="J21" t="s">
        <v>696</v>
      </c>
      <c r="K21" t="s">
        <v>744</v>
      </c>
      <c r="L21" t="s">
        <v>745</v>
      </c>
      <c r="M21" t="s">
        <v>811</v>
      </c>
      <c r="N21" t="s">
        <v>747</v>
      </c>
      <c r="O21" t="s">
        <v>812</v>
      </c>
      <c r="P21" t="s">
        <v>701</v>
      </c>
      <c r="Q21" t="s">
        <v>370</v>
      </c>
    </row>
    <row r="22" spans="1:17" ht="14.25" customHeight="1" x14ac:dyDescent="0.2">
      <c r="A22" s="572" t="s">
        <v>919</v>
      </c>
      <c r="B22" s="110">
        <f t="shared" si="0"/>
        <v>6.57</v>
      </c>
      <c r="C22" s="575">
        <v>45944</v>
      </c>
      <c r="D22" s="569">
        <v>45946</v>
      </c>
      <c r="E22" s="569">
        <v>45946</v>
      </c>
      <c r="F22" t="s">
        <v>813</v>
      </c>
      <c r="G22" t="s">
        <v>814</v>
      </c>
      <c r="H22" t="s">
        <v>367</v>
      </c>
      <c r="I22" t="s">
        <v>368</v>
      </c>
      <c r="J22" t="s">
        <v>696</v>
      </c>
      <c r="K22" t="s">
        <v>697</v>
      </c>
      <c r="L22" t="s">
        <v>698</v>
      </c>
      <c r="M22" t="s">
        <v>815</v>
      </c>
      <c r="N22" t="s">
        <v>369</v>
      </c>
      <c r="O22" t="s">
        <v>816</v>
      </c>
      <c r="P22" t="s">
        <v>701</v>
      </c>
      <c r="Q22" t="s">
        <v>370</v>
      </c>
    </row>
    <row r="23" spans="1:17" ht="14.25" customHeight="1" x14ac:dyDescent="0.2">
      <c r="A23" s="572" t="s">
        <v>919</v>
      </c>
      <c r="B23" s="110">
        <f t="shared" si="0"/>
        <v>6.5200000000000005</v>
      </c>
      <c r="C23" s="575">
        <v>45944</v>
      </c>
      <c r="D23" s="569">
        <v>45946</v>
      </c>
      <c r="E23" s="569">
        <v>45946</v>
      </c>
      <c r="F23" t="s">
        <v>817</v>
      </c>
      <c r="G23" t="s">
        <v>370</v>
      </c>
      <c r="H23" t="s">
        <v>367</v>
      </c>
      <c r="I23" t="s">
        <v>368</v>
      </c>
      <c r="J23" t="s">
        <v>696</v>
      </c>
      <c r="K23" t="s">
        <v>744</v>
      </c>
      <c r="L23" t="s">
        <v>745</v>
      </c>
      <c r="M23" t="s">
        <v>818</v>
      </c>
      <c r="N23" t="s">
        <v>747</v>
      </c>
      <c r="O23" t="s">
        <v>819</v>
      </c>
      <c r="P23" t="s">
        <v>701</v>
      </c>
      <c r="Q23" t="s">
        <v>370</v>
      </c>
    </row>
    <row r="24" spans="1:17" ht="14.25" customHeight="1" x14ac:dyDescent="0.2">
      <c r="A24" s="572" t="s">
        <v>919</v>
      </c>
      <c r="B24" s="110">
        <f t="shared" si="0"/>
        <v>6.5200000000000005</v>
      </c>
      <c r="C24" s="575">
        <v>45944</v>
      </c>
      <c r="D24" s="569">
        <v>45946</v>
      </c>
      <c r="E24" s="569">
        <v>45946</v>
      </c>
      <c r="F24" t="s">
        <v>820</v>
      </c>
      <c r="G24" t="s">
        <v>370</v>
      </c>
      <c r="H24" t="s">
        <v>367</v>
      </c>
      <c r="I24" t="s">
        <v>368</v>
      </c>
      <c r="J24" t="s">
        <v>696</v>
      </c>
      <c r="K24" t="s">
        <v>744</v>
      </c>
      <c r="L24" t="s">
        <v>745</v>
      </c>
      <c r="M24" t="s">
        <v>821</v>
      </c>
      <c r="N24" t="s">
        <v>747</v>
      </c>
      <c r="O24" t="s">
        <v>822</v>
      </c>
      <c r="P24" t="s">
        <v>701</v>
      </c>
      <c r="Q24" t="s">
        <v>370</v>
      </c>
    </row>
    <row r="25" spans="1:17" ht="14.25" customHeight="1" x14ac:dyDescent="0.2">
      <c r="A25" s="572" t="s">
        <v>919</v>
      </c>
      <c r="B25" s="110">
        <f t="shared" si="0"/>
        <v>6.57</v>
      </c>
      <c r="C25" s="575">
        <v>45944</v>
      </c>
      <c r="D25" s="569">
        <v>45946</v>
      </c>
      <c r="E25" s="569">
        <v>45946</v>
      </c>
      <c r="F25" t="s">
        <v>823</v>
      </c>
      <c r="G25" t="s">
        <v>370</v>
      </c>
      <c r="H25" t="s">
        <v>367</v>
      </c>
      <c r="I25" t="s">
        <v>368</v>
      </c>
      <c r="J25" t="s">
        <v>696</v>
      </c>
      <c r="K25" t="s">
        <v>697</v>
      </c>
      <c r="L25" t="s">
        <v>698</v>
      </c>
      <c r="M25" t="s">
        <v>824</v>
      </c>
      <c r="N25" t="s">
        <v>741</v>
      </c>
      <c r="O25" t="s">
        <v>825</v>
      </c>
      <c r="P25" t="s">
        <v>701</v>
      </c>
      <c r="Q25" t="s">
        <v>370</v>
      </c>
    </row>
    <row r="26" spans="1:17" ht="14.25" customHeight="1" x14ac:dyDescent="0.2">
      <c r="A26" s="572" t="s">
        <v>919</v>
      </c>
      <c r="B26" s="110">
        <f t="shared" si="0"/>
        <v>6.5200000000000005</v>
      </c>
      <c r="C26" s="575">
        <v>45944</v>
      </c>
      <c r="D26" s="569">
        <v>45946</v>
      </c>
      <c r="E26" s="569">
        <v>45946</v>
      </c>
      <c r="F26" t="s">
        <v>826</v>
      </c>
      <c r="G26" t="s">
        <v>370</v>
      </c>
      <c r="H26" t="s">
        <v>367</v>
      </c>
      <c r="I26" t="s">
        <v>368</v>
      </c>
      <c r="J26" t="s">
        <v>696</v>
      </c>
      <c r="K26" t="s">
        <v>744</v>
      </c>
      <c r="L26" t="s">
        <v>745</v>
      </c>
      <c r="M26" t="s">
        <v>827</v>
      </c>
      <c r="N26" t="s">
        <v>747</v>
      </c>
      <c r="O26" t="s">
        <v>828</v>
      </c>
      <c r="P26" t="s">
        <v>701</v>
      </c>
      <c r="Q26" t="s">
        <v>370</v>
      </c>
    </row>
    <row r="27" spans="1:17" ht="14.25" customHeight="1" x14ac:dyDescent="0.2">
      <c r="A27" s="572" t="s">
        <v>919</v>
      </c>
      <c r="B27" s="110">
        <f t="shared" si="0"/>
        <v>6.5200000000000005</v>
      </c>
      <c r="C27" s="575">
        <v>45944</v>
      </c>
      <c r="D27" s="569">
        <v>45946</v>
      </c>
      <c r="E27" s="569">
        <v>45946</v>
      </c>
      <c r="F27" t="s">
        <v>829</v>
      </c>
      <c r="G27" t="s">
        <v>370</v>
      </c>
      <c r="H27" t="s">
        <v>367</v>
      </c>
      <c r="I27" t="s">
        <v>368</v>
      </c>
      <c r="J27" t="s">
        <v>696</v>
      </c>
      <c r="K27" t="s">
        <v>744</v>
      </c>
      <c r="L27" t="s">
        <v>745</v>
      </c>
      <c r="M27" t="s">
        <v>830</v>
      </c>
      <c r="N27" t="s">
        <v>747</v>
      </c>
      <c r="O27" t="s">
        <v>831</v>
      </c>
      <c r="P27" t="s">
        <v>701</v>
      </c>
      <c r="Q27" t="s">
        <v>370</v>
      </c>
    </row>
    <row r="28" spans="1:17" ht="14.25" customHeight="1" x14ac:dyDescent="0.2">
      <c r="A28" s="572" t="s">
        <v>919</v>
      </c>
      <c r="B28" s="110">
        <f t="shared" si="0"/>
        <v>6.57</v>
      </c>
      <c r="C28" s="575">
        <v>45944</v>
      </c>
      <c r="D28" s="569">
        <v>45946</v>
      </c>
      <c r="E28" s="569">
        <v>45946</v>
      </c>
      <c r="F28" t="s">
        <v>832</v>
      </c>
      <c r="G28" t="s">
        <v>370</v>
      </c>
      <c r="H28" t="s">
        <v>367</v>
      </c>
      <c r="I28" t="s">
        <v>368</v>
      </c>
      <c r="J28" t="s">
        <v>696</v>
      </c>
      <c r="K28" t="s">
        <v>697</v>
      </c>
      <c r="L28" t="s">
        <v>698</v>
      </c>
      <c r="M28" t="s">
        <v>833</v>
      </c>
      <c r="N28" t="s">
        <v>741</v>
      </c>
      <c r="O28" t="s">
        <v>834</v>
      </c>
      <c r="P28" t="s">
        <v>701</v>
      </c>
      <c r="Q28" t="s">
        <v>370</v>
      </c>
    </row>
    <row r="29" spans="1:17" ht="14.25" customHeight="1" x14ac:dyDescent="0.2">
      <c r="A29" s="572" t="s">
        <v>919</v>
      </c>
      <c r="B29" s="110">
        <f t="shared" si="0"/>
        <v>6.5200000000000005</v>
      </c>
      <c r="C29" s="575">
        <v>45944</v>
      </c>
      <c r="D29" s="569">
        <v>45946</v>
      </c>
      <c r="E29" s="569">
        <v>45946</v>
      </c>
      <c r="F29" t="s">
        <v>835</v>
      </c>
      <c r="G29" t="s">
        <v>370</v>
      </c>
      <c r="H29" t="s">
        <v>367</v>
      </c>
      <c r="I29" t="s">
        <v>368</v>
      </c>
      <c r="J29" t="s">
        <v>696</v>
      </c>
      <c r="K29" t="s">
        <v>744</v>
      </c>
      <c r="L29" t="s">
        <v>745</v>
      </c>
      <c r="M29" t="s">
        <v>836</v>
      </c>
      <c r="N29" t="s">
        <v>747</v>
      </c>
      <c r="O29" t="s">
        <v>837</v>
      </c>
      <c r="P29" t="s">
        <v>701</v>
      </c>
      <c r="Q29" t="s">
        <v>370</v>
      </c>
    </row>
    <row r="30" spans="1:17" ht="14.25" customHeight="1" x14ac:dyDescent="0.2">
      <c r="A30" s="572" t="s">
        <v>919</v>
      </c>
      <c r="B30" s="110">
        <f t="shared" si="0"/>
        <v>6.5200000000000005</v>
      </c>
      <c r="C30" s="575">
        <v>45944</v>
      </c>
      <c r="D30" s="569">
        <v>45946</v>
      </c>
      <c r="E30" s="569">
        <v>45946</v>
      </c>
      <c r="F30" t="s">
        <v>838</v>
      </c>
      <c r="G30" t="s">
        <v>370</v>
      </c>
      <c r="H30" t="s">
        <v>367</v>
      </c>
      <c r="I30" t="s">
        <v>368</v>
      </c>
      <c r="J30" t="s">
        <v>696</v>
      </c>
      <c r="K30" t="s">
        <v>744</v>
      </c>
      <c r="L30" t="s">
        <v>745</v>
      </c>
      <c r="M30" t="s">
        <v>839</v>
      </c>
      <c r="N30" t="s">
        <v>747</v>
      </c>
      <c r="O30" t="s">
        <v>840</v>
      </c>
      <c r="P30" t="s">
        <v>701</v>
      </c>
      <c r="Q30" t="s">
        <v>370</v>
      </c>
    </row>
    <row r="31" spans="1:17" ht="14.25" customHeight="1" x14ac:dyDescent="0.2">
      <c r="A31" s="572" t="s">
        <v>919</v>
      </c>
      <c r="B31" s="110">
        <f t="shared" si="0"/>
        <v>6.57</v>
      </c>
      <c r="C31" s="575">
        <v>45944</v>
      </c>
      <c r="D31" s="569">
        <v>45946</v>
      </c>
      <c r="E31" s="569">
        <v>45946</v>
      </c>
      <c r="F31" t="s">
        <v>841</v>
      </c>
      <c r="G31" t="s">
        <v>370</v>
      </c>
      <c r="H31" t="s">
        <v>367</v>
      </c>
      <c r="I31" t="s">
        <v>368</v>
      </c>
      <c r="J31" t="s">
        <v>696</v>
      </c>
      <c r="K31" t="s">
        <v>697</v>
      </c>
      <c r="L31" t="s">
        <v>698</v>
      </c>
      <c r="M31" t="s">
        <v>842</v>
      </c>
      <c r="N31" t="s">
        <v>741</v>
      </c>
      <c r="O31" s="574" t="s">
        <v>843</v>
      </c>
      <c r="P31" t="s">
        <v>701</v>
      </c>
      <c r="Q31" t="s">
        <v>370</v>
      </c>
    </row>
    <row r="32" spans="1:17" ht="14.25" customHeight="1" x14ac:dyDescent="0.2">
      <c r="A32" s="572" t="s">
        <v>919</v>
      </c>
      <c r="B32" s="110">
        <f t="shared" si="0"/>
        <v>6.5200000000000005</v>
      </c>
      <c r="C32" s="575">
        <v>45944</v>
      </c>
      <c r="D32" s="569">
        <v>45946</v>
      </c>
      <c r="E32" s="569">
        <v>45946</v>
      </c>
      <c r="F32" t="s">
        <v>844</v>
      </c>
      <c r="G32" t="s">
        <v>370</v>
      </c>
      <c r="H32" t="s">
        <v>367</v>
      </c>
      <c r="I32" t="s">
        <v>368</v>
      </c>
      <c r="J32" t="s">
        <v>696</v>
      </c>
      <c r="K32" t="s">
        <v>744</v>
      </c>
      <c r="L32" t="s">
        <v>745</v>
      </c>
      <c r="M32" s="574" t="s">
        <v>845</v>
      </c>
      <c r="N32" t="s">
        <v>747</v>
      </c>
      <c r="O32" t="s">
        <v>846</v>
      </c>
      <c r="P32" t="s">
        <v>701</v>
      </c>
      <c r="Q32" t="s">
        <v>370</v>
      </c>
    </row>
    <row r="33" spans="1:17" ht="14.25" customHeight="1" x14ac:dyDescent="0.2">
      <c r="A33" s="572" t="s">
        <v>919</v>
      </c>
      <c r="B33" s="110">
        <f t="shared" si="0"/>
        <v>6.5200000000000005</v>
      </c>
      <c r="C33" s="575">
        <v>45944</v>
      </c>
      <c r="D33" s="569">
        <v>45946</v>
      </c>
      <c r="E33" s="569">
        <v>45946</v>
      </c>
      <c r="F33" t="s">
        <v>847</v>
      </c>
      <c r="G33" t="s">
        <v>370</v>
      </c>
      <c r="H33" t="s">
        <v>367</v>
      </c>
      <c r="I33" t="s">
        <v>368</v>
      </c>
      <c r="J33" t="s">
        <v>696</v>
      </c>
      <c r="K33" t="s">
        <v>744</v>
      </c>
      <c r="L33" t="s">
        <v>745</v>
      </c>
      <c r="M33" t="s">
        <v>848</v>
      </c>
      <c r="N33" t="s">
        <v>747</v>
      </c>
      <c r="O33" t="s">
        <v>849</v>
      </c>
      <c r="P33" t="s">
        <v>701</v>
      </c>
      <c r="Q33" t="s">
        <v>370</v>
      </c>
    </row>
    <row r="34" spans="1:17" ht="14.25" customHeight="1" x14ac:dyDescent="0.2">
      <c r="A34" s="572" t="s">
        <v>919</v>
      </c>
      <c r="B34" s="110">
        <f t="shared" si="0"/>
        <v>6.5200000000000005</v>
      </c>
      <c r="C34" s="575">
        <v>45944</v>
      </c>
      <c r="D34" s="569">
        <v>45946</v>
      </c>
      <c r="E34" s="569">
        <v>45946</v>
      </c>
      <c r="F34" t="s">
        <v>850</v>
      </c>
      <c r="G34" t="s">
        <v>370</v>
      </c>
      <c r="H34" t="s">
        <v>367</v>
      </c>
      <c r="I34" t="s">
        <v>368</v>
      </c>
      <c r="J34" t="s">
        <v>696</v>
      </c>
      <c r="K34" t="s">
        <v>744</v>
      </c>
      <c r="L34" t="s">
        <v>745</v>
      </c>
      <c r="M34" t="s">
        <v>851</v>
      </c>
      <c r="N34" t="s">
        <v>747</v>
      </c>
      <c r="O34" t="s">
        <v>852</v>
      </c>
      <c r="P34" t="s">
        <v>701</v>
      </c>
      <c r="Q34" t="s">
        <v>370</v>
      </c>
    </row>
    <row r="35" spans="1:17" ht="14.25" customHeight="1" x14ac:dyDescent="0.2">
      <c r="A35" s="572" t="s">
        <v>919</v>
      </c>
      <c r="B35" s="110">
        <f t="shared" si="0"/>
        <v>6.57</v>
      </c>
      <c r="C35" s="575">
        <v>45944</v>
      </c>
      <c r="D35" s="569">
        <v>45946</v>
      </c>
      <c r="E35" s="569">
        <v>45946</v>
      </c>
      <c r="F35" t="s">
        <v>853</v>
      </c>
      <c r="G35" t="s">
        <v>370</v>
      </c>
      <c r="H35" t="s">
        <v>367</v>
      </c>
      <c r="I35" t="s">
        <v>368</v>
      </c>
      <c r="J35" t="s">
        <v>696</v>
      </c>
      <c r="K35" t="s">
        <v>697</v>
      </c>
      <c r="L35" t="s">
        <v>698</v>
      </c>
      <c r="M35" t="s">
        <v>854</v>
      </c>
      <c r="N35" t="s">
        <v>741</v>
      </c>
      <c r="O35" t="s">
        <v>855</v>
      </c>
      <c r="P35" t="s">
        <v>701</v>
      </c>
      <c r="Q35" t="s">
        <v>370</v>
      </c>
    </row>
    <row r="36" spans="1:17" ht="14.25" customHeight="1" x14ac:dyDescent="0.2">
      <c r="A36" s="572" t="s">
        <v>919</v>
      </c>
      <c r="B36" s="110">
        <f t="shared" si="0"/>
        <v>6.5200000000000005</v>
      </c>
      <c r="C36" s="575">
        <v>45944</v>
      </c>
      <c r="D36" s="569">
        <v>45946</v>
      </c>
      <c r="E36" s="569">
        <v>45946</v>
      </c>
      <c r="F36" t="s">
        <v>856</v>
      </c>
      <c r="G36" t="s">
        <v>370</v>
      </c>
      <c r="H36" t="s">
        <v>367</v>
      </c>
      <c r="I36" t="s">
        <v>368</v>
      </c>
      <c r="J36" t="s">
        <v>696</v>
      </c>
      <c r="K36" t="s">
        <v>744</v>
      </c>
      <c r="L36" t="s">
        <v>745</v>
      </c>
      <c r="M36" t="s">
        <v>857</v>
      </c>
      <c r="N36" t="s">
        <v>747</v>
      </c>
      <c r="O36" t="s">
        <v>858</v>
      </c>
      <c r="P36" t="s">
        <v>701</v>
      </c>
      <c r="Q36" t="s">
        <v>370</v>
      </c>
    </row>
    <row r="37" spans="1:17" ht="14.25" customHeight="1" x14ac:dyDescent="0.2">
      <c r="A37" s="572" t="s">
        <v>919</v>
      </c>
      <c r="B37" s="110">
        <f t="shared" si="0"/>
        <v>6.57</v>
      </c>
      <c r="C37" s="575">
        <v>45944</v>
      </c>
      <c r="D37" s="569">
        <v>45946</v>
      </c>
      <c r="E37" s="569">
        <v>45946</v>
      </c>
      <c r="F37" t="s">
        <v>859</v>
      </c>
      <c r="G37" t="s">
        <v>370</v>
      </c>
      <c r="H37" t="s">
        <v>367</v>
      </c>
      <c r="I37" t="s">
        <v>368</v>
      </c>
      <c r="J37" t="s">
        <v>696</v>
      </c>
      <c r="K37" t="s">
        <v>697</v>
      </c>
      <c r="L37" t="s">
        <v>698</v>
      </c>
      <c r="M37" t="s">
        <v>860</v>
      </c>
      <c r="N37" t="s">
        <v>741</v>
      </c>
      <c r="O37" t="s">
        <v>861</v>
      </c>
      <c r="P37" t="s">
        <v>701</v>
      </c>
      <c r="Q37" t="s">
        <v>370</v>
      </c>
    </row>
    <row r="38" spans="1:17" ht="14.25" customHeight="1" x14ac:dyDescent="0.2">
      <c r="A38" s="572" t="s">
        <v>920</v>
      </c>
      <c r="B38" s="110">
        <f t="shared" si="0"/>
        <v>8.5299999999999994</v>
      </c>
      <c r="C38" s="575">
        <v>45944</v>
      </c>
      <c r="D38" s="569">
        <v>45946</v>
      </c>
      <c r="E38" s="569">
        <v>45946</v>
      </c>
      <c r="F38" t="s">
        <v>862</v>
      </c>
      <c r="G38" t="s">
        <v>370</v>
      </c>
      <c r="H38" t="s">
        <v>367</v>
      </c>
      <c r="I38" t="s">
        <v>368</v>
      </c>
      <c r="J38" t="s">
        <v>765</v>
      </c>
      <c r="K38" t="s">
        <v>766</v>
      </c>
      <c r="L38" t="s">
        <v>767</v>
      </c>
      <c r="M38" t="s">
        <v>863</v>
      </c>
      <c r="N38" t="s">
        <v>741</v>
      </c>
      <c r="O38" t="s">
        <v>864</v>
      </c>
      <c r="P38" t="s">
        <v>701</v>
      </c>
      <c r="Q38" t="s">
        <v>370</v>
      </c>
    </row>
    <row r="39" spans="1:17" ht="14.25" customHeight="1" x14ac:dyDescent="0.2">
      <c r="A39" s="572" t="s">
        <v>919</v>
      </c>
      <c r="B39" s="110">
        <f t="shared" si="0"/>
        <v>6.57</v>
      </c>
      <c r="C39" s="575">
        <v>45944</v>
      </c>
      <c r="D39" s="569">
        <v>45946</v>
      </c>
      <c r="E39" s="569">
        <v>45946</v>
      </c>
      <c r="F39" t="s">
        <v>865</v>
      </c>
      <c r="G39" t="s">
        <v>370</v>
      </c>
      <c r="H39" t="s">
        <v>367</v>
      </c>
      <c r="I39" t="s">
        <v>368</v>
      </c>
      <c r="J39" t="s">
        <v>696</v>
      </c>
      <c r="K39" t="s">
        <v>697</v>
      </c>
      <c r="L39" t="s">
        <v>698</v>
      </c>
      <c r="M39" t="s">
        <v>866</v>
      </c>
      <c r="N39" t="s">
        <v>741</v>
      </c>
      <c r="O39" t="s">
        <v>867</v>
      </c>
      <c r="P39" t="s">
        <v>701</v>
      </c>
      <c r="Q39" t="s">
        <v>370</v>
      </c>
    </row>
    <row r="40" spans="1:17" ht="14.25" customHeight="1" x14ac:dyDescent="0.2">
      <c r="A40" s="572" t="s">
        <v>919</v>
      </c>
      <c r="B40" s="110">
        <f t="shared" si="0"/>
        <v>6.5200000000000005</v>
      </c>
      <c r="C40" s="575">
        <v>45944</v>
      </c>
      <c r="D40" s="569">
        <v>45946</v>
      </c>
      <c r="E40" s="569">
        <v>45946</v>
      </c>
      <c r="F40" t="s">
        <v>868</v>
      </c>
      <c r="G40" t="s">
        <v>370</v>
      </c>
      <c r="H40" t="s">
        <v>367</v>
      </c>
      <c r="I40" t="s">
        <v>368</v>
      </c>
      <c r="J40" t="s">
        <v>696</v>
      </c>
      <c r="K40" t="s">
        <v>744</v>
      </c>
      <c r="L40" t="s">
        <v>745</v>
      </c>
      <c r="M40" t="s">
        <v>869</v>
      </c>
      <c r="N40" t="s">
        <v>747</v>
      </c>
      <c r="O40" t="s">
        <v>870</v>
      </c>
      <c r="P40" t="s">
        <v>701</v>
      </c>
      <c r="Q40" t="s">
        <v>370</v>
      </c>
    </row>
    <row r="41" spans="1:17" ht="14.25" customHeight="1" x14ac:dyDescent="0.2">
      <c r="A41" s="572" t="s">
        <v>919</v>
      </c>
      <c r="B41" s="110">
        <f t="shared" si="0"/>
        <v>6.57</v>
      </c>
      <c r="C41" s="575">
        <v>45944</v>
      </c>
      <c r="D41" s="569">
        <v>45946</v>
      </c>
      <c r="E41" s="569">
        <v>45946</v>
      </c>
      <c r="F41" t="s">
        <v>871</v>
      </c>
      <c r="G41" t="s">
        <v>370</v>
      </c>
      <c r="H41" t="s">
        <v>367</v>
      </c>
      <c r="I41" t="s">
        <v>368</v>
      </c>
      <c r="J41" t="s">
        <v>696</v>
      </c>
      <c r="K41" t="s">
        <v>697</v>
      </c>
      <c r="L41" t="s">
        <v>698</v>
      </c>
      <c r="M41" t="s">
        <v>872</v>
      </c>
      <c r="N41" t="s">
        <v>741</v>
      </c>
      <c r="O41" t="s">
        <v>873</v>
      </c>
      <c r="P41" t="s">
        <v>701</v>
      </c>
      <c r="Q41" t="s">
        <v>370</v>
      </c>
    </row>
    <row r="42" spans="1:17" ht="14.25" customHeight="1" x14ac:dyDescent="0.2">
      <c r="A42" s="572" t="s">
        <v>919</v>
      </c>
      <c r="B42" s="110">
        <f t="shared" si="0"/>
        <v>6.5200000000000005</v>
      </c>
      <c r="C42" s="575">
        <v>45944</v>
      </c>
      <c r="D42" s="569">
        <v>45946</v>
      </c>
      <c r="E42" s="569">
        <v>45946</v>
      </c>
      <c r="F42" t="s">
        <v>874</v>
      </c>
      <c r="G42" t="s">
        <v>370</v>
      </c>
      <c r="H42" t="s">
        <v>367</v>
      </c>
      <c r="I42" t="s">
        <v>368</v>
      </c>
      <c r="J42" t="s">
        <v>696</v>
      </c>
      <c r="K42" t="s">
        <v>744</v>
      </c>
      <c r="L42" t="s">
        <v>745</v>
      </c>
      <c r="M42" t="s">
        <v>875</v>
      </c>
      <c r="N42" t="s">
        <v>747</v>
      </c>
      <c r="O42" t="s">
        <v>876</v>
      </c>
      <c r="P42" t="s">
        <v>701</v>
      </c>
      <c r="Q42" t="s">
        <v>370</v>
      </c>
    </row>
    <row r="43" spans="1:17" ht="14.25" customHeight="1" x14ac:dyDescent="0.2">
      <c r="A43" s="572" t="s">
        <v>919</v>
      </c>
      <c r="B43" s="110">
        <f t="shared" si="0"/>
        <v>6.57</v>
      </c>
      <c r="C43" s="575">
        <v>45944</v>
      </c>
      <c r="D43" s="569">
        <v>45946</v>
      </c>
      <c r="E43" s="569">
        <v>45946</v>
      </c>
      <c r="F43" t="s">
        <v>877</v>
      </c>
      <c r="G43" t="s">
        <v>370</v>
      </c>
      <c r="H43" t="s">
        <v>367</v>
      </c>
      <c r="I43" t="s">
        <v>368</v>
      </c>
      <c r="J43" t="s">
        <v>696</v>
      </c>
      <c r="K43" t="s">
        <v>697</v>
      </c>
      <c r="L43" t="s">
        <v>698</v>
      </c>
      <c r="M43" t="s">
        <v>878</v>
      </c>
      <c r="N43" t="s">
        <v>741</v>
      </c>
      <c r="O43" t="s">
        <v>879</v>
      </c>
      <c r="P43" t="s">
        <v>701</v>
      </c>
      <c r="Q43" t="s">
        <v>370</v>
      </c>
    </row>
    <row r="44" spans="1:17" ht="14.25" customHeight="1" x14ac:dyDescent="0.2">
      <c r="A44" s="572" t="s">
        <v>919</v>
      </c>
      <c r="B44" s="110">
        <f t="shared" si="0"/>
        <v>6.57</v>
      </c>
      <c r="C44" s="575">
        <v>45944</v>
      </c>
      <c r="D44" s="569">
        <v>45946</v>
      </c>
      <c r="E44" s="569">
        <v>45946</v>
      </c>
      <c r="F44" t="s">
        <v>880</v>
      </c>
      <c r="G44" t="s">
        <v>370</v>
      </c>
      <c r="H44" t="s">
        <v>367</v>
      </c>
      <c r="I44" t="s">
        <v>368</v>
      </c>
      <c r="J44" t="s">
        <v>696</v>
      </c>
      <c r="K44" t="s">
        <v>697</v>
      </c>
      <c r="L44" t="s">
        <v>698</v>
      </c>
      <c r="M44" t="s">
        <v>881</v>
      </c>
      <c r="N44" t="s">
        <v>741</v>
      </c>
      <c r="O44" t="s">
        <v>882</v>
      </c>
      <c r="P44" t="s">
        <v>701</v>
      </c>
      <c r="Q44" t="s">
        <v>370</v>
      </c>
    </row>
    <row r="45" spans="1:17" ht="14.25" customHeight="1" x14ac:dyDescent="0.2">
      <c r="A45" s="572" t="s">
        <v>919</v>
      </c>
      <c r="B45" s="110">
        <f t="shared" si="0"/>
        <v>6.57</v>
      </c>
      <c r="C45" s="575">
        <v>45944</v>
      </c>
      <c r="D45" s="569">
        <v>45946</v>
      </c>
      <c r="E45" s="569">
        <v>45946</v>
      </c>
      <c r="F45" t="s">
        <v>883</v>
      </c>
      <c r="G45" t="s">
        <v>884</v>
      </c>
      <c r="H45" t="s">
        <v>367</v>
      </c>
      <c r="I45" t="s">
        <v>368</v>
      </c>
      <c r="J45" t="s">
        <v>696</v>
      </c>
      <c r="K45" t="s">
        <v>697</v>
      </c>
      <c r="L45" t="s">
        <v>698</v>
      </c>
      <c r="M45" t="s">
        <v>885</v>
      </c>
      <c r="N45" t="s">
        <v>369</v>
      </c>
      <c r="O45" t="s">
        <v>886</v>
      </c>
      <c r="P45" t="s">
        <v>701</v>
      </c>
      <c r="Q45" t="s">
        <v>370</v>
      </c>
    </row>
    <row r="46" spans="1:17" ht="14.25" customHeight="1" x14ac:dyDescent="0.2">
      <c r="A46" s="572" t="s">
        <v>919</v>
      </c>
      <c r="B46" s="110">
        <f t="shared" si="0"/>
        <v>6.57</v>
      </c>
      <c r="C46" s="575">
        <v>45944</v>
      </c>
      <c r="D46" s="569">
        <v>45946</v>
      </c>
      <c r="E46" s="569">
        <v>45946</v>
      </c>
      <c r="F46" t="s">
        <v>887</v>
      </c>
      <c r="G46" t="s">
        <v>370</v>
      </c>
      <c r="H46" t="s">
        <v>367</v>
      </c>
      <c r="I46" t="s">
        <v>368</v>
      </c>
      <c r="J46" t="s">
        <v>696</v>
      </c>
      <c r="K46" t="s">
        <v>697</v>
      </c>
      <c r="L46" t="s">
        <v>698</v>
      </c>
      <c r="M46" t="s">
        <v>888</v>
      </c>
      <c r="N46" t="s">
        <v>741</v>
      </c>
      <c r="O46" t="s">
        <v>889</v>
      </c>
      <c r="P46" t="s">
        <v>701</v>
      </c>
      <c r="Q46" t="s">
        <v>370</v>
      </c>
    </row>
    <row r="47" spans="1:17" ht="14.25" customHeight="1" x14ac:dyDescent="0.2">
      <c r="A47" s="572" t="s">
        <v>919</v>
      </c>
      <c r="B47" s="110">
        <f t="shared" si="0"/>
        <v>6.57</v>
      </c>
      <c r="C47" s="575">
        <v>45944</v>
      </c>
      <c r="D47" s="569">
        <v>45946</v>
      </c>
      <c r="E47" s="569">
        <v>45946</v>
      </c>
      <c r="F47" t="s">
        <v>890</v>
      </c>
      <c r="G47" t="s">
        <v>370</v>
      </c>
      <c r="H47" t="s">
        <v>367</v>
      </c>
      <c r="I47" t="s">
        <v>368</v>
      </c>
      <c r="J47" t="s">
        <v>696</v>
      </c>
      <c r="K47" t="s">
        <v>697</v>
      </c>
      <c r="L47" t="s">
        <v>698</v>
      </c>
      <c r="M47" t="s">
        <v>891</v>
      </c>
      <c r="N47" t="s">
        <v>741</v>
      </c>
      <c r="O47" t="s">
        <v>892</v>
      </c>
      <c r="P47" t="s">
        <v>701</v>
      </c>
      <c r="Q47" t="s">
        <v>370</v>
      </c>
    </row>
    <row r="48" spans="1:17" ht="14.25" customHeight="1" x14ac:dyDescent="0.2">
      <c r="A48" s="572" t="s">
        <v>919</v>
      </c>
      <c r="B48" s="110">
        <f t="shared" si="0"/>
        <v>6.57</v>
      </c>
      <c r="C48" s="575">
        <v>45944</v>
      </c>
      <c r="D48" s="569">
        <v>45946</v>
      </c>
      <c r="E48" s="569">
        <v>45946</v>
      </c>
      <c r="F48" t="s">
        <v>893</v>
      </c>
      <c r="G48" t="s">
        <v>370</v>
      </c>
      <c r="H48" t="s">
        <v>367</v>
      </c>
      <c r="I48" t="s">
        <v>368</v>
      </c>
      <c r="J48" t="s">
        <v>696</v>
      </c>
      <c r="K48" t="s">
        <v>697</v>
      </c>
      <c r="L48" t="s">
        <v>698</v>
      </c>
      <c r="M48" t="s">
        <v>894</v>
      </c>
      <c r="N48" t="s">
        <v>741</v>
      </c>
      <c r="O48" t="s">
        <v>895</v>
      </c>
      <c r="P48" t="s">
        <v>701</v>
      </c>
      <c r="Q48" t="s">
        <v>370</v>
      </c>
    </row>
    <row r="49" spans="1:17" ht="14.25" customHeight="1" x14ac:dyDescent="0.2">
      <c r="A49" s="572" t="s">
        <v>919</v>
      </c>
      <c r="B49" s="110">
        <f t="shared" si="0"/>
        <v>6.57</v>
      </c>
      <c r="C49" s="575">
        <v>45944</v>
      </c>
      <c r="D49" s="569">
        <v>45946</v>
      </c>
      <c r="E49" s="569">
        <v>45946</v>
      </c>
      <c r="F49" t="s">
        <v>896</v>
      </c>
      <c r="G49" t="s">
        <v>897</v>
      </c>
      <c r="H49" t="s">
        <v>367</v>
      </c>
      <c r="I49" t="s">
        <v>368</v>
      </c>
      <c r="J49" t="s">
        <v>696</v>
      </c>
      <c r="K49" t="s">
        <v>697</v>
      </c>
      <c r="L49" t="s">
        <v>698</v>
      </c>
      <c r="M49" t="s">
        <v>898</v>
      </c>
      <c r="N49" t="s">
        <v>369</v>
      </c>
      <c r="O49" t="s">
        <v>899</v>
      </c>
      <c r="P49" t="s">
        <v>701</v>
      </c>
      <c r="Q49" t="s">
        <v>370</v>
      </c>
    </row>
    <row r="50" spans="1:17" ht="14.25" customHeight="1" x14ac:dyDescent="0.2">
      <c r="A50" s="572" t="s">
        <v>919</v>
      </c>
      <c r="B50" s="110">
        <f t="shared" si="0"/>
        <v>6.5200000000000005</v>
      </c>
      <c r="C50" s="575">
        <v>45944</v>
      </c>
      <c r="D50" s="569">
        <v>45946</v>
      </c>
      <c r="E50" s="569">
        <v>45946</v>
      </c>
      <c r="F50" t="s">
        <v>900</v>
      </c>
      <c r="G50" t="s">
        <v>370</v>
      </c>
      <c r="H50" t="s">
        <v>367</v>
      </c>
      <c r="I50" t="s">
        <v>368</v>
      </c>
      <c r="J50" t="s">
        <v>696</v>
      </c>
      <c r="K50" t="s">
        <v>744</v>
      </c>
      <c r="L50" t="s">
        <v>745</v>
      </c>
      <c r="M50" t="s">
        <v>901</v>
      </c>
      <c r="N50" t="s">
        <v>747</v>
      </c>
      <c r="O50" t="s">
        <v>902</v>
      </c>
      <c r="P50" t="s">
        <v>701</v>
      </c>
      <c r="Q50" t="s">
        <v>370</v>
      </c>
    </row>
    <row r="51" spans="1:17" ht="14.25" customHeight="1" x14ac:dyDescent="0.2">
      <c r="A51" s="572" t="s">
        <v>919</v>
      </c>
      <c r="B51" s="110">
        <f t="shared" si="0"/>
        <v>6.57</v>
      </c>
      <c r="C51" s="575">
        <v>45944</v>
      </c>
      <c r="D51" s="569">
        <v>45946</v>
      </c>
      <c r="E51" s="569">
        <v>45946</v>
      </c>
      <c r="F51" t="s">
        <v>903</v>
      </c>
      <c r="G51" t="s">
        <v>370</v>
      </c>
      <c r="H51" t="s">
        <v>367</v>
      </c>
      <c r="I51" t="s">
        <v>368</v>
      </c>
      <c r="J51" t="s">
        <v>696</v>
      </c>
      <c r="K51" t="s">
        <v>697</v>
      </c>
      <c r="L51" t="s">
        <v>698</v>
      </c>
      <c r="M51" t="s">
        <v>904</v>
      </c>
      <c r="N51" t="s">
        <v>781</v>
      </c>
      <c r="O51" t="s">
        <v>905</v>
      </c>
      <c r="P51" t="s">
        <v>701</v>
      </c>
      <c r="Q51" t="s">
        <v>370</v>
      </c>
    </row>
    <row r="52" spans="1:17" ht="14.25" customHeight="1" x14ac:dyDescent="0.2">
      <c r="A52" s="572" t="s">
        <v>919</v>
      </c>
      <c r="B52" s="110">
        <f t="shared" si="0"/>
        <v>6.57</v>
      </c>
      <c r="C52" s="575">
        <v>45944</v>
      </c>
      <c r="D52" s="569">
        <v>45946</v>
      </c>
      <c r="E52" s="569">
        <v>45946</v>
      </c>
      <c r="F52" t="s">
        <v>906</v>
      </c>
      <c r="G52" t="s">
        <v>906</v>
      </c>
      <c r="H52" t="s">
        <v>367</v>
      </c>
      <c r="I52" t="s">
        <v>368</v>
      </c>
      <c r="J52" t="s">
        <v>696</v>
      </c>
      <c r="K52" t="s">
        <v>697</v>
      </c>
      <c r="L52" t="s">
        <v>698</v>
      </c>
      <c r="M52" t="s">
        <v>907</v>
      </c>
      <c r="N52" t="s">
        <v>369</v>
      </c>
      <c r="O52" t="s">
        <v>908</v>
      </c>
      <c r="P52" t="s">
        <v>701</v>
      </c>
      <c r="Q52" t="s">
        <v>370</v>
      </c>
    </row>
    <row r="53" spans="1:17" ht="14.25" customHeight="1" x14ac:dyDescent="0.2">
      <c r="A53" s="572" t="s">
        <v>919</v>
      </c>
      <c r="B53" s="110">
        <f t="shared" si="0"/>
        <v>6.57</v>
      </c>
      <c r="C53" s="575">
        <v>45944</v>
      </c>
      <c r="D53" s="569">
        <v>45946</v>
      </c>
      <c r="E53" s="569">
        <v>45946</v>
      </c>
      <c r="F53" t="s">
        <v>909</v>
      </c>
      <c r="G53" t="s">
        <v>370</v>
      </c>
      <c r="H53" t="s">
        <v>367</v>
      </c>
      <c r="I53" t="s">
        <v>368</v>
      </c>
      <c r="J53" t="s">
        <v>696</v>
      </c>
      <c r="K53" t="s">
        <v>697</v>
      </c>
      <c r="L53" t="s">
        <v>698</v>
      </c>
      <c r="M53" t="s">
        <v>910</v>
      </c>
      <c r="N53" t="s">
        <v>741</v>
      </c>
      <c r="O53" t="s">
        <v>911</v>
      </c>
      <c r="P53" t="s">
        <v>701</v>
      </c>
      <c r="Q53" t="s">
        <v>370</v>
      </c>
    </row>
    <row r="54" spans="1:17" ht="14.25" customHeight="1" x14ac:dyDescent="0.2">
      <c r="A54" s="572" t="s">
        <v>919</v>
      </c>
      <c r="B54" s="110">
        <f t="shared" si="0"/>
        <v>6.5200000000000005</v>
      </c>
      <c r="C54" s="575">
        <v>45944</v>
      </c>
      <c r="D54" s="569">
        <v>45946</v>
      </c>
      <c r="E54" s="569">
        <v>45946</v>
      </c>
      <c r="F54" t="s">
        <v>912</v>
      </c>
      <c r="G54" t="s">
        <v>370</v>
      </c>
      <c r="H54" t="s">
        <v>367</v>
      </c>
      <c r="I54" t="s">
        <v>368</v>
      </c>
      <c r="J54" t="s">
        <v>696</v>
      </c>
      <c r="K54" t="s">
        <v>744</v>
      </c>
      <c r="L54" t="s">
        <v>745</v>
      </c>
      <c r="M54" t="s">
        <v>913</v>
      </c>
      <c r="N54" t="s">
        <v>747</v>
      </c>
      <c r="O54" t="s">
        <v>914</v>
      </c>
      <c r="P54" t="s">
        <v>701</v>
      </c>
      <c r="Q54" t="s">
        <v>370</v>
      </c>
    </row>
    <row r="55" spans="1:17" ht="14.25" customHeight="1" x14ac:dyDescent="0.2">
      <c r="A55" s="572" t="s">
        <v>919</v>
      </c>
      <c r="B55" s="110">
        <f t="shared" si="0"/>
        <v>6.57</v>
      </c>
      <c r="C55" s="575">
        <v>45944</v>
      </c>
      <c r="D55" s="569">
        <v>45946</v>
      </c>
      <c r="E55" s="569">
        <v>45946</v>
      </c>
      <c r="F55" t="s">
        <v>915</v>
      </c>
      <c r="G55" t="s">
        <v>916</v>
      </c>
      <c r="H55" t="s">
        <v>367</v>
      </c>
      <c r="I55" t="s">
        <v>368</v>
      </c>
      <c r="J55" t="s">
        <v>696</v>
      </c>
      <c r="K55" t="s">
        <v>697</v>
      </c>
      <c r="L55" t="s">
        <v>698</v>
      </c>
      <c r="M55" t="s">
        <v>917</v>
      </c>
      <c r="N55" t="s">
        <v>369</v>
      </c>
      <c r="O55" t="s">
        <v>918</v>
      </c>
      <c r="P55" t="s">
        <v>701</v>
      </c>
      <c r="Q55" t="s">
        <v>370</v>
      </c>
    </row>
    <row r="56" spans="1:17" ht="14.25" customHeight="1" x14ac:dyDescent="0.2">
      <c r="A56" s="572" t="s">
        <v>919</v>
      </c>
      <c r="B56" s="110">
        <f t="shared" si="0"/>
        <v>6.57</v>
      </c>
      <c r="C56" s="575">
        <v>45945</v>
      </c>
      <c r="D56" s="569">
        <v>45946</v>
      </c>
      <c r="E56" s="569">
        <v>45946</v>
      </c>
      <c r="F56" t="s">
        <v>695</v>
      </c>
      <c r="G56" t="s">
        <v>695</v>
      </c>
      <c r="H56" t="s">
        <v>367</v>
      </c>
      <c r="I56" t="s">
        <v>368</v>
      </c>
      <c r="J56" t="s">
        <v>696</v>
      </c>
      <c r="K56" t="s">
        <v>697</v>
      </c>
      <c r="L56" t="s">
        <v>698</v>
      </c>
      <c r="M56" t="s">
        <v>699</v>
      </c>
      <c r="N56" t="s">
        <v>369</v>
      </c>
      <c r="O56" t="s">
        <v>700</v>
      </c>
      <c r="P56" t="s">
        <v>701</v>
      </c>
      <c r="Q56" t="s">
        <v>370</v>
      </c>
    </row>
    <row r="57" spans="1:17" ht="14.25" customHeight="1" x14ac:dyDescent="0.2">
      <c r="A57" s="572" t="s">
        <v>919</v>
      </c>
      <c r="B57" s="110">
        <f t="shared" si="0"/>
        <v>6.57</v>
      </c>
      <c r="C57" s="575">
        <v>45945</v>
      </c>
      <c r="D57" s="569">
        <v>45947</v>
      </c>
      <c r="E57" s="569">
        <v>45947</v>
      </c>
      <c r="F57" t="s">
        <v>921</v>
      </c>
      <c r="G57" t="s">
        <v>370</v>
      </c>
      <c r="H57" t="s">
        <v>367</v>
      </c>
      <c r="I57" t="s">
        <v>368</v>
      </c>
      <c r="J57" t="s">
        <v>696</v>
      </c>
      <c r="K57" t="s">
        <v>697</v>
      </c>
      <c r="L57" t="s">
        <v>698</v>
      </c>
      <c r="M57" t="s">
        <v>922</v>
      </c>
      <c r="N57" t="s">
        <v>741</v>
      </c>
      <c r="O57" t="s">
        <v>923</v>
      </c>
      <c r="P57" t="s">
        <v>924</v>
      </c>
      <c r="Q57" t="s">
        <v>370</v>
      </c>
    </row>
    <row r="58" spans="1:17" ht="14.25" customHeight="1" x14ac:dyDescent="0.2">
      <c r="A58" s="572" t="s">
        <v>919</v>
      </c>
      <c r="B58" s="110">
        <f t="shared" si="0"/>
        <v>6.5200000000000005</v>
      </c>
      <c r="C58" s="575">
        <v>45945</v>
      </c>
      <c r="D58" s="569">
        <v>45947</v>
      </c>
      <c r="E58" s="569">
        <v>45947</v>
      </c>
      <c r="F58" t="s">
        <v>925</v>
      </c>
      <c r="G58" t="s">
        <v>370</v>
      </c>
      <c r="H58" t="s">
        <v>367</v>
      </c>
      <c r="I58" t="s">
        <v>368</v>
      </c>
      <c r="J58" t="s">
        <v>696</v>
      </c>
      <c r="K58" t="s">
        <v>744</v>
      </c>
      <c r="L58" t="s">
        <v>745</v>
      </c>
      <c r="M58" t="s">
        <v>926</v>
      </c>
      <c r="N58" t="s">
        <v>747</v>
      </c>
      <c r="O58" t="s">
        <v>927</v>
      </c>
      <c r="P58" t="s">
        <v>924</v>
      </c>
      <c r="Q58" t="s">
        <v>370</v>
      </c>
    </row>
    <row r="59" spans="1:17" ht="14.25" customHeight="1" x14ac:dyDescent="0.2">
      <c r="A59" s="572" t="s">
        <v>919</v>
      </c>
      <c r="B59" s="110">
        <f t="shared" si="0"/>
        <v>15.4</v>
      </c>
      <c r="C59" s="575">
        <v>45945</v>
      </c>
      <c r="D59" s="569">
        <v>45947</v>
      </c>
      <c r="E59" s="569">
        <v>45947</v>
      </c>
      <c r="F59" t="s">
        <v>928</v>
      </c>
      <c r="G59" t="s">
        <v>370</v>
      </c>
      <c r="H59" t="s">
        <v>367</v>
      </c>
      <c r="I59" t="s">
        <v>368</v>
      </c>
      <c r="J59" t="s">
        <v>759</v>
      </c>
      <c r="K59" t="s">
        <v>760</v>
      </c>
      <c r="L59" t="s">
        <v>761</v>
      </c>
      <c r="M59" t="s">
        <v>929</v>
      </c>
      <c r="N59" t="s">
        <v>741</v>
      </c>
      <c r="O59" t="s">
        <v>930</v>
      </c>
      <c r="P59" t="s">
        <v>924</v>
      </c>
      <c r="Q59" t="s">
        <v>370</v>
      </c>
    </row>
    <row r="60" spans="1:17" ht="14.25" customHeight="1" x14ac:dyDescent="0.2">
      <c r="A60" s="572" t="s">
        <v>920</v>
      </c>
      <c r="B60" s="110">
        <f t="shared" si="0"/>
        <v>8.4700000000000006</v>
      </c>
      <c r="C60" s="575">
        <v>45945</v>
      </c>
      <c r="D60" s="569">
        <v>45947</v>
      </c>
      <c r="E60" s="569">
        <v>45947</v>
      </c>
      <c r="F60" t="s">
        <v>931</v>
      </c>
      <c r="G60" t="s">
        <v>370</v>
      </c>
      <c r="H60" t="s">
        <v>367</v>
      </c>
      <c r="I60" t="s">
        <v>368</v>
      </c>
      <c r="J60" t="s">
        <v>765</v>
      </c>
      <c r="K60" t="s">
        <v>932</v>
      </c>
      <c r="L60" t="s">
        <v>933</v>
      </c>
      <c r="M60" t="s">
        <v>934</v>
      </c>
      <c r="N60" t="s">
        <v>747</v>
      </c>
      <c r="O60" t="s">
        <v>935</v>
      </c>
      <c r="P60" t="s">
        <v>924</v>
      </c>
      <c r="Q60" t="s">
        <v>370</v>
      </c>
    </row>
    <row r="61" spans="1:17" ht="14.25" customHeight="1" x14ac:dyDescent="0.2">
      <c r="A61" s="572" t="s">
        <v>919</v>
      </c>
      <c r="B61" s="110">
        <f t="shared" si="0"/>
        <v>6.57</v>
      </c>
      <c r="C61" s="575">
        <v>45945</v>
      </c>
      <c r="D61" s="569">
        <v>45947</v>
      </c>
      <c r="E61" s="569">
        <v>45947</v>
      </c>
      <c r="F61" t="s">
        <v>936</v>
      </c>
      <c r="G61" t="s">
        <v>937</v>
      </c>
      <c r="H61" t="s">
        <v>367</v>
      </c>
      <c r="I61" t="s">
        <v>368</v>
      </c>
      <c r="J61" t="s">
        <v>696</v>
      </c>
      <c r="K61" t="s">
        <v>697</v>
      </c>
      <c r="L61" t="s">
        <v>698</v>
      </c>
      <c r="M61" t="s">
        <v>938</v>
      </c>
      <c r="N61" t="s">
        <v>369</v>
      </c>
      <c r="O61" t="s">
        <v>939</v>
      </c>
      <c r="P61" t="s">
        <v>924</v>
      </c>
      <c r="Q61" t="s">
        <v>370</v>
      </c>
    </row>
    <row r="62" spans="1:17" ht="14.25" customHeight="1" x14ac:dyDescent="0.2">
      <c r="A62" s="572" t="s">
        <v>920</v>
      </c>
      <c r="B62" s="110">
        <f t="shared" si="0"/>
        <v>8.4700000000000006</v>
      </c>
      <c r="C62" s="575">
        <v>45945</v>
      </c>
      <c r="D62" s="569">
        <v>45947</v>
      </c>
      <c r="E62" s="569">
        <v>45947</v>
      </c>
      <c r="F62" t="s">
        <v>940</v>
      </c>
      <c r="G62" t="s">
        <v>370</v>
      </c>
      <c r="H62" t="s">
        <v>367</v>
      </c>
      <c r="I62" t="s">
        <v>368</v>
      </c>
      <c r="J62" t="s">
        <v>765</v>
      </c>
      <c r="K62" t="s">
        <v>932</v>
      </c>
      <c r="L62" t="s">
        <v>933</v>
      </c>
      <c r="M62" t="s">
        <v>941</v>
      </c>
      <c r="N62" t="s">
        <v>747</v>
      </c>
      <c r="O62" t="s">
        <v>942</v>
      </c>
      <c r="P62" t="s">
        <v>924</v>
      </c>
      <c r="Q62" t="s">
        <v>370</v>
      </c>
    </row>
    <row r="63" spans="1:17" ht="14.25" customHeight="1" x14ac:dyDescent="0.2">
      <c r="A63" s="572" t="s">
        <v>919</v>
      </c>
      <c r="B63" s="110">
        <f t="shared" si="0"/>
        <v>6.57</v>
      </c>
      <c r="C63" s="575">
        <v>45945</v>
      </c>
      <c r="D63" s="569">
        <v>45947</v>
      </c>
      <c r="E63" s="569">
        <v>45947</v>
      </c>
      <c r="F63" t="s">
        <v>943</v>
      </c>
      <c r="G63" t="s">
        <v>943</v>
      </c>
      <c r="H63" t="s">
        <v>367</v>
      </c>
      <c r="I63" t="s">
        <v>368</v>
      </c>
      <c r="J63" t="s">
        <v>696</v>
      </c>
      <c r="K63" t="s">
        <v>697</v>
      </c>
      <c r="L63" t="s">
        <v>698</v>
      </c>
      <c r="M63" t="s">
        <v>944</v>
      </c>
      <c r="N63" t="s">
        <v>369</v>
      </c>
      <c r="O63" t="s">
        <v>945</v>
      </c>
      <c r="P63" t="s">
        <v>924</v>
      </c>
      <c r="Q63" t="s">
        <v>370</v>
      </c>
    </row>
    <row r="64" spans="1:17" ht="14.25" customHeight="1" x14ac:dyDescent="0.2">
      <c r="A64" s="572" t="s">
        <v>919</v>
      </c>
      <c r="B64" s="110">
        <f t="shared" si="0"/>
        <v>6.57</v>
      </c>
      <c r="C64" s="575">
        <v>45945</v>
      </c>
      <c r="D64" s="569">
        <v>45947</v>
      </c>
      <c r="E64" s="569">
        <v>45947</v>
      </c>
      <c r="F64" t="s">
        <v>946</v>
      </c>
      <c r="G64" t="s">
        <v>370</v>
      </c>
      <c r="H64" t="s">
        <v>367</v>
      </c>
      <c r="I64" t="s">
        <v>368</v>
      </c>
      <c r="J64" t="s">
        <v>696</v>
      </c>
      <c r="K64" t="s">
        <v>697</v>
      </c>
      <c r="L64" t="s">
        <v>698</v>
      </c>
      <c r="M64" s="574" t="s">
        <v>947</v>
      </c>
      <c r="N64" t="s">
        <v>741</v>
      </c>
      <c r="O64" t="s">
        <v>948</v>
      </c>
      <c r="P64" t="s">
        <v>924</v>
      </c>
      <c r="Q64" t="s">
        <v>370</v>
      </c>
    </row>
    <row r="65" spans="1:17" ht="14.25" customHeight="1" x14ac:dyDescent="0.2">
      <c r="A65" s="572" t="s">
        <v>919</v>
      </c>
      <c r="B65" s="110">
        <f t="shared" si="0"/>
        <v>6.57</v>
      </c>
      <c r="C65" s="575">
        <v>45945</v>
      </c>
      <c r="D65" s="569">
        <v>45947</v>
      </c>
      <c r="E65" s="569">
        <v>45947</v>
      </c>
      <c r="F65" t="s">
        <v>949</v>
      </c>
      <c r="G65" t="s">
        <v>370</v>
      </c>
      <c r="H65" t="s">
        <v>367</v>
      </c>
      <c r="I65" t="s">
        <v>368</v>
      </c>
      <c r="J65" t="s">
        <v>696</v>
      </c>
      <c r="K65" t="s">
        <v>697</v>
      </c>
      <c r="L65" t="s">
        <v>698</v>
      </c>
      <c r="M65" t="s">
        <v>950</v>
      </c>
      <c r="N65" t="s">
        <v>741</v>
      </c>
      <c r="O65" t="s">
        <v>951</v>
      </c>
      <c r="P65" t="s">
        <v>924</v>
      </c>
      <c r="Q65" t="s">
        <v>370</v>
      </c>
    </row>
    <row r="66" spans="1:17" ht="14.25" customHeight="1" x14ac:dyDescent="0.2">
      <c r="A66" s="572" t="s">
        <v>919</v>
      </c>
      <c r="B66" s="110">
        <f t="shared" ref="B66:B129" si="1">_xlfn.NUMBERVALUE(L66)*0.01</f>
        <v>6.57</v>
      </c>
      <c r="C66" s="575">
        <v>45945</v>
      </c>
      <c r="D66" s="569">
        <v>45947</v>
      </c>
      <c r="E66" s="569">
        <v>45947</v>
      </c>
      <c r="F66" t="s">
        <v>952</v>
      </c>
      <c r="G66" t="s">
        <v>370</v>
      </c>
      <c r="H66" t="s">
        <v>367</v>
      </c>
      <c r="I66" t="s">
        <v>368</v>
      </c>
      <c r="J66" t="s">
        <v>696</v>
      </c>
      <c r="K66" t="s">
        <v>697</v>
      </c>
      <c r="L66" t="s">
        <v>698</v>
      </c>
      <c r="M66" t="s">
        <v>953</v>
      </c>
      <c r="N66" t="s">
        <v>741</v>
      </c>
      <c r="O66" t="s">
        <v>954</v>
      </c>
      <c r="P66" t="s">
        <v>924</v>
      </c>
      <c r="Q66" t="s">
        <v>370</v>
      </c>
    </row>
    <row r="67" spans="1:17" ht="14.25" customHeight="1" x14ac:dyDescent="0.2">
      <c r="A67" s="572" t="s">
        <v>920</v>
      </c>
      <c r="B67" s="110">
        <f t="shared" si="1"/>
        <v>8.5299999999999994</v>
      </c>
      <c r="C67" s="575">
        <v>45945</v>
      </c>
      <c r="D67" s="569">
        <v>45947</v>
      </c>
      <c r="E67" s="569">
        <v>45947</v>
      </c>
      <c r="F67" t="s">
        <v>955</v>
      </c>
      <c r="G67" t="s">
        <v>956</v>
      </c>
      <c r="H67" t="s">
        <v>367</v>
      </c>
      <c r="I67" t="s">
        <v>368</v>
      </c>
      <c r="J67" t="s">
        <v>765</v>
      </c>
      <c r="K67" t="s">
        <v>766</v>
      </c>
      <c r="L67" t="s">
        <v>767</v>
      </c>
      <c r="M67" t="s">
        <v>957</v>
      </c>
      <c r="N67" t="s">
        <v>369</v>
      </c>
      <c r="O67" t="s">
        <v>958</v>
      </c>
      <c r="P67" t="s">
        <v>924</v>
      </c>
      <c r="Q67" t="s">
        <v>370</v>
      </c>
    </row>
    <row r="68" spans="1:17" ht="14.25" customHeight="1" x14ac:dyDescent="0.2">
      <c r="A68" s="572" t="s">
        <v>920</v>
      </c>
      <c r="B68" s="110">
        <f t="shared" si="1"/>
        <v>8.5299999999999994</v>
      </c>
      <c r="C68" s="575">
        <v>45945</v>
      </c>
      <c r="D68" s="569">
        <v>45947</v>
      </c>
      <c r="E68" s="569">
        <v>45947</v>
      </c>
      <c r="F68" t="s">
        <v>959</v>
      </c>
      <c r="G68" t="s">
        <v>370</v>
      </c>
      <c r="H68" t="s">
        <v>367</v>
      </c>
      <c r="I68" t="s">
        <v>368</v>
      </c>
      <c r="J68" t="s">
        <v>765</v>
      </c>
      <c r="K68" t="s">
        <v>766</v>
      </c>
      <c r="L68" t="s">
        <v>767</v>
      </c>
      <c r="M68" t="s">
        <v>960</v>
      </c>
      <c r="N68" t="s">
        <v>741</v>
      </c>
      <c r="O68" t="s">
        <v>961</v>
      </c>
      <c r="P68" t="s">
        <v>924</v>
      </c>
      <c r="Q68" t="s">
        <v>370</v>
      </c>
    </row>
    <row r="69" spans="1:17" ht="14.25" customHeight="1" x14ac:dyDescent="0.2">
      <c r="A69" s="572" t="s">
        <v>919</v>
      </c>
      <c r="B69" s="110">
        <f t="shared" si="1"/>
        <v>15.4</v>
      </c>
      <c r="C69" s="575">
        <v>45945</v>
      </c>
      <c r="D69" s="569">
        <v>45947</v>
      </c>
      <c r="E69" s="569">
        <v>45947</v>
      </c>
      <c r="F69" t="s">
        <v>962</v>
      </c>
      <c r="G69" t="s">
        <v>370</v>
      </c>
      <c r="H69" t="s">
        <v>367</v>
      </c>
      <c r="I69" t="s">
        <v>368</v>
      </c>
      <c r="J69" t="s">
        <v>759</v>
      </c>
      <c r="K69" t="s">
        <v>760</v>
      </c>
      <c r="L69" t="s">
        <v>761</v>
      </c>
      <c r="M69" t="s">
        <v>963</v>
      </c>
      <c r="N69" t="s">
        <v>741</v>
      </c>
      <c r="O69" t="s">
        <v>964</v>
      </c>
      <c r="P69" t="s">
        <v>924</v>
      </c>
      <c r="Q69" t="s">
        <v>370</v>
      </c>
    </row>
    <row r="70" spans="1:17" ht="14.25" customHeight="1" x14ac:dyDescent="0.2">
      <c r="A70" s="572" t="s">
        <v>919</v>
      </c>
      <c r="B70" s="110">
        <f t="shared" si="1"/>
        <v>6.57</v>
      </c>
      <c r="C70" s="575">
        <v>45945</v>
      </c>
      <c r="D70" s="569">
        <v>45947</v>
      </c>
      <c r="E70" s="569">
        <v>45947</v>
      </c>
      <c r="F70" t="s">
        <v>965</v>
      </c>
      <c r="G70" t="s">
        <v>370</v>
      </c>
      <c r="H70" t="s">
        <v>367</v>
      </c>
      <c r="I70" t="s">
        <v>368</v>
      </c>
      <c r="J70" t="s">
        <v>696</v>
      </c>
      <c r="K70" t="s">
        <v>697</v>
      </c>
      <c r="L70" t="s">
        <v>698</v>
      </c>
      <c r="M70" t="s">
        <v>966</v>
      </c>
      <c r="N70" t="s">
        <v>741</v>
      </c>
      <c r="O70" s="574" t="s">
        <v>967</v>
      </c>
      <c r="P70" t="s">
        <v>924</v>
      </c>
      <c r="Q70" t="s">
        <v>370</v>
      </c>
    </row>
    <row r="71" spans="1:17" ht="14.25" customHeight="1" x14ac:dyDescent="0.2">
      <c r="A71" s="572" t="s">
        <v>919</v>
      </c>
      <c r="B71" s="110">
        <f t="shared" si="1"/>
        <v>6.5200000000000005</v>
      </c>
      <c r="C71" s="575">
        <v>45945</v>
      </c>
      <c r="D71" s="569">
        <v>45947</v>
      </c>
      <c r="E71" s="569">
        <v>45947</v>
      </c>
      <c r="F71" t="s">
        <v>968</v>
      </c>
      <c r="G71" t="s">
        <v>370</v>
      </c>
      <c r="H71" t="s">
        <v>367</v>
      </c>
      <c r="I71" t="s">
        <v>368</v>
      </c>
      <c r="J71" t="s">
        <v>696</v>
      </c>
      <c r="K71" t="s">
        <v>744</v>
      </c>
      <c r="L71" t="s">
        <v>745</v>
      </c>
      <c r="M71" t="s">
        <v>969</v>
      </c>
      <c r="N71" t="s">
        <v>747</v>
      </c>
      <c r="O71" t="s">
        <v>970</v>
      </c>
      <c r="P71" t="s">
        <v>924</v>
      </c>
      <c r="Q71" t="s">
        <v>370</v>
      </c>
    </row>
    <row r="72" spans="1:17" ht="14.25" customHeight="1" x14ac:dyDescent="0.2">
      <c r="A72" s="572" t="s">
        <v>919</v>
      </c>
      <c r="B72" s="110">
        <f t="shared" si="1"/>
        <v>6.57</v>
      </c>
      <c r="C72" s="575">
        <v>45945</v>
      </c>
      <c r="D72" s="569">
        <v>45947</v>
      </c>
      <c r="E72" s="569">
        <v>45947</v>
      </c>
      <c r="F72" t="s">
        <v>971</v>
      </c>
      <c r="G72" t="s">
        <v>370</v>
      </c>
      <c r="H72" t="s">
        <v>367</v>
      </c>
      <c r="I72" t="s">
        <v>368</v>
      </c>
      <c r="J72" t="s">
        <v>696</v>
      </c>
      <c r="K72" t="s">
        <v>697</v>
      </c>
      <c r="L72" t="s">
        <v>698</v>
      </c>
      <c r="M72" t="s">
        <v>972</v>
      </c>
      <c r="N72" t="s">
        <v>741</v>
      </c>
      <c r="O72" t="s">
        <v>973</v>
      </c>
      <c r="P72" t="s">
        <v>924</v>
      </c>
      <c r="Q72" t="s">
        <v>370</v>
      </c>
    </row>
    <row r="73" spans="1:17" ht="14.25" customHeight="1" x14ac:dyDescent="0.2">
      <c r="A73" s="572" t="s">
        <v>919</v>
      </c>
      <c r="B73" s="110">
        <f t="shared" si="1"/>
        <v>6.5200000000000005</v>
      </c>
      <c r="C73" s="575">
        <v>45945</v>
      </c>
      <c r="D73" s="569">
        <v>45947</v>
      </c>
      <c r="E73" s="569">
        <v>45947</v>
      </c>
      <c r="F73" t="s">
        <v>974</v>
      </c>
      <c r="G73" t="s">
        <v>370</v>
      </c>
      <c r="H73" t="s">
        <v>367</v>
      </c>
      <c r="I73" t="s">
        <v>368</v>
      </c>
      <c r="J73" t="s">
        <v>696</v>
      </c>
      <c r="K73" t="s">
        <v>744</v>
      </c>
      <c r="L73" t="s">
        <v>745</v>
      </c>
      <c r="M73" t="s">
        <v>975</v>
      </c>
      <c r="N73" t="s">
        <v>747</v>
      </c>
      <c r="O73" t="s">
        <v>976</v>
      </c>
      <c r="P73" t="s">
        <v>924</v>
      </c>
      <c r="Q73" t="s">
        <v>370</v>
      </c>
    </row>
    <row r="74" spans="1:17" ht="14.25" customHeight="1" x14ac:dyDescent="0.2">
      <c r="A74" s="572" t="s">
        <v>919</v>
      </c>
      <c r="B74" s="110">
        <f t="shared" si="1"/>
        <v>6.57</v>
      </c>
      <c r="C74" s="575">
        <v>45945</v>
      </c>
      <c r="D74" s="569">
        <v>45947</v>
      </c>
      <c r="E74" s="569">
        <v>45947</v>
      </c>
      <c r="F74" t="s">
        <v>977</v>
      </c>
      <c r="G74" t="s">
        <v>370</v>
      </c>
      <c r="H74" t="s">
        <v>367</v>
      </c>
      <c r="I74" t="s">
        <v>368</v>
      </c>
      <c r="J74" t="s">
        <v>696</v>
      </c>
      <c r="K74" t="s">
        <v>697</v>
      </c>
      <c r="L74" t="s">
        <v>698</v>
      </c>
      <c r="M74" t="s">
        <v>978</v>
      </c>
      <c r="N74" t="s">
        <v>741</v>
      </c>
      <c r="O74" t="s">
        <v>979</v>
      </c>
      <c r="P74" t="s">
        <v>924</v>
      </c>
      <c r="Q74" t="s">
        <v>370</v>
      </c>
    </row>
    <row r="75" spans="1:17" ht="14.25" customHeight="1" x14ac:dyDescent="0.2">
      <c r="A75" s="572" t="s">
        <v>919</v>
      </c>
      <c r="B75" s="110">
        <f t="shared" si="1"/>
        <v>6.57</v>
      </c>
      <c r="C75" s="575">
        <v>45945</v>
      </c>
      <c r="D75" s="569">
        <v>45947</v>
      </c>
      <c r="E75" s="569">
        <v>45947</v>
      </c>
      <c r="F75" t="s">
        <v>980</v>
      </c>
      <c r="G75" t="s">
        <v>370</v>
      </c>
      <c r="H75" t="s">
        <v>367</v>
      </c>
      <c r="I75" t="s">
        <v>368</v>
      </c>
      <c r="J75" t="s">
        <v>696</v>
      </c>
      <c r="K75" t="s">
        <v>697</v>
      </c>
      <c r="L75" t="s">
        <v>698</v>
      </c>
      <c r="M75" t="s">
        <v>981</v>
      </c>
      <c r="N75" t="s">
        <v>741</v>
      </c>
      <c r="O75" s="574" t="s">
        <v>982</v>
      </c>
      <c r="P75" t="s">
        <v>924</v>
      </c>
      <c r="Q75" t="s">
        <v>370</v>
      </c>
    </row>
    <row r="76" spans="1:17" ht="14.25" customHeight="1" x14ac:dyDescent="0.2">
      <c r="A76" s="572" t="s">
        <v>920</v>
      </c>
      <c r="B76" s="110">
        <f t="shared" si="1"/>
        <v>8.4700000000000006</v>
      </c>
      <c r="C76" s="575">
        <v>45945</v>
      </c>
      <c r="D76" s="569">
        <v>45947</v>
      </c>
      <c r="E76" s="569">
        <v>45947</v>
      </c>
      <c r="F76" t="s">
        <v>983</v>
      </c>
      <c r="G76" t="s">
        <v>370</v>
      </c>
      <c r="H76" t="s">
        <v>367</v>
      </c>
      <c r="I76" t="s">
        <v>368</v>
      </c>
      <c r="J76" t="s">
        <v>765</v>
      </c>
      <c r="K76" t="s">
        <v>932</v>
      </c>
      <c r="L76" t="s">
        <v>933</v>
      </c>
      <c r="M76" t="s">
        <v>984</v>
      </c>
      <c r="N76" t="s">
        <v>747</v>
      </c>
      <c r="O76" t="s">
        <v>985</v>
      </c>
      <c r="P76" t="s">
        <v>924</v>
      </c>
      <c r="Q76" t="s">
        <v>370</v>
      </c>
    </row>
    <row r="77" spans="1:17" ht="14.25" customHeight="1" x14ac:dyDescent="0.2">
      <c r="A77" s="572" t="s">
        <v>919</v>
      </c>
      <c r="B77" s="110">
        <f t="shared" si="1"/>
        <v>6.5200000000000005</v>
      </c>
      <c r="C77" s="575">
        <v>45945</v>
      </c>
      <c r="D77" s="569">
        <v>45947</v>
      </c>
      <c r="E77" s="569">
        <v>45947</v>
      </c>
      <c r="F77" t="s">
        <v>986</v>
      </c>
      <c r="G77" t="s">
        <v>370</v>
      </c>
      <c r="H77" t="s">
        <v>367</v>
      </c>
      <c r="I77" t="s">
        <v>368</v>
      </c>
      <c r="J77" t="s">
        <v>696</v>
      </c>
      <c r="K77" t="s">
        <v>744</v>
      </c>
      <c r="L77" t="s">
        <v>745</v>
      </c>
      <c r="M77" t="s">
        <v>987</v>
      </c>
      <c r="N77" t="s">
        <v>747</v>
      </c>
      <c r="O77" t="s">
        <v>988</v>
      </c>
      <c r="P77" t="s">
        <v>924</v>
      </c>
      <c r="Q77" t="s">
        <v>370</v>
      </c>
    </row>
    <row r="78" spans="1:17" ht="14.25" customHeight="1" x14ac:dyDescent="0.2">
      <c r="A78" s="572" t="s">
        <v>919</v>
      </c>
      <c r="B78" s="110">
        <f t="shared" si="1"/>
        <v>6.5200000000000005</v>
      </c>
      <c r="C78" s="575">
        <v>45945</v>
      </c>
      <c r="D78" s="569">
        <v>45947</v>
      </c>
      <c r="E78" s="569">
        <v>45947</v>
      </c>
      <c r="F78" t="s">
        <v>989</v>
      </c>
      <c r="G78" t="s">
        <v>370</v>
      </c>
      <c r="H78" t="s">
        <v>367</v>
      </c>
      <c r="I78" t="s">
        <v>368</v>
      </c>
      <c r="J78" t="s">
        <v>696</v>
      </c>
      <c r="K78" t="s">
        <v>744</v>
      </c>
      <c r="L78" t="s">
        <v>745</v>
      </c>
      <c r="M78" t="s">
        <v>990</v>
      </c>
      <c r="N78" t="s">
        <v>747</v>
      </c>
      <c r="O78" t="s">
        <v>991</v>
      </c>
      <c r="P78" t="s">
        <v>924</v>
      </c>
      <c r="Q78" t="s">
        <v>370</v>
      </c>
    </row>
    <row r="79" spans="1:17" ht="14.25" customHeight="1" x14ac:dyDescent="0.2">
      <c r="A79" s="572" t="s">
        <v>919</v>
      </c>
      <c r="B79" s="110">
        <f t="shared" si="1"/>
        <v>6.57</v>
      </c>
      <c r="C79" s="575">
        <v>45945</v>
      </c>
      <c r="D79" s="569">
        <v>45947</v>
      </c>
      <c r="E79" s="569">
        <v>45947</v>
      </c>
      <c r="F79" t="s">
        <v>992</v>
      </c>
      <c r="G79" t="s">
        <v>993</v>
      </c>
      <c r="H79" t="s">
        <v>367</v>
      </c>
      <c r="I79" t="s">
        <v>368</v>
      </c>
      <c r="J79" t="s">
        <v>696</v>
      </c>
      <c r="K79" t="s">
        <v>697</v>
      </c>
      <c r="L79" t="s">
        <v>698</v>
      </c>
      <c r="M79" t="s">
        <v>994</v>
      </c>
      <c r="N79" t="s">
        <v>369</v>
      </c>
      <c r="O79" t="s">
        <v>995</v>
      </c>
      <c r="P79" t="s">
        <v>924</v>
      </c>
      <c r="Q79" t="s">
        <v>370</v>
      </c>
    </row>
    <row r="80" spans="1:17" ht="14.25" customHeight="1" x14ac:dyDescent="0.2">
      <c r="A80" s="572" t="s">
        <v>919</v>
      </c>
      <c r="B80" s="110">
        <f t="shared" si="1"/>
        <v>6.57</v>
      </c>
      <c r="C80" s="575">
        <v>45945</v>
      </c>
      <c r="D80" s="569">
        <v>45947</v>
      </c>
      <c r="E80" s="569">
        <v>45947</v>
      </c>
      <c r="F80" t="s">
        <v>996</v>
      </c>
      <c r="G80" t="s">
        <v>996</v>
      </c>
      <c r="H80" t="s">
        <v>367</v>
      </c>
      <c r="I80" t="s">
        <v>368</v>
      </c>
      <c r="J80" t="s">
        <v>696</v>
      </c>
      <c r="K80" t="s">
        <v>697</v>
      </c>
      <c r="L80" t="s">
        <v>698</v>
      </c>
      <c r="M80" t="s">
        <v>997</v>
      </c>
      <c r="N80" t="s">
        <v>369</v>
      </c>
      <c r="O80" t="s">
        <v>998</v>
      </c>
      <c r="P80" t="s">
        <v>924</v>
      </c>
      <c r="Q80" t="s">
        <v>370</v>
      </c>
    </row>
    <row r="81" spans="1:17" ht="14.25" customHeight="1" x14ac:dyDescent="0.2">
      <c r="A81" s="572" t="s">
        <v>919</v>
      </c>
      <c r="B81" s="110">
        <f t="shared" si="1"/>
        <v>6.5200000000000005</v>
      </c>
      <c r="C81" s="575">
        <v>45945</v>
      </c>
      <c r="D81" s="569">
        <v>45947</v>
      </c>
      <c r="E81" s="569">
        <v>45947</v>
      </c>
      <c r="F81" t="s">
        <v>999</v>
      </c>
      <c r="G81" t="s">
        <v>370</v>
      </c>
      <c r="H81" t="s">
        <v>367</v>
      </c>
      <c r="I81" t="s">
        <v>368</v>
      </c>
      <c r="J81" t="s">
        <v>696</v>
      </c>
      <c r="K81" t="s">
        <v>744</v>
      </c>
      <c r="L81" t="s">
        <v>745</v>
      </c>
      <c r="M81" t="s">
        <v>1000</v>
      </c>
      <c r="N81" t="s">
        <v>747</v>
      </c>
      <c r="O81" t="s">
        <v>1001</v>
      </c>
      <c r="P81" t="s">
        <v>924</v>
      </c>
      <c r="Q81" t="s">
        <v>370</v>
      </c>
    </row>
    <row r="82" spans="1:17" ht="14.25" customHeight="1" x14ac:dyDescent="0.2">
      <c r="A82" s="572" t="s">
        <v>919</v>
      </c>
      <c r="B82" s="110">
        <f t="shared" si="1"/>
        <v>6.57</v>
      </c>
      <c r="C82" s="575">
        <v>45945</v>
      </c>
      <c r="D82" s="569">
        <v>45947</v>
      </c>
      <c r="E82" s="569">
        <v>45947</v>
      </c>
      <c r="F82" t="s">
        <v>1002</v>
      </c>
      <c r="G82" t="s">
        <v>1002</v>
      </c>
      <c r="H82" t="s">
        <v>367</v>
      </c>
      <c r="I82" t="s">
        <v>368</v>
      </c>
      <c r="J82" t="s">
        <v>696</v>
      </c>
      <c r="K82" t="s">
        <v>697</v>
      </c>
      <c r="L82" t="s">
        <v>698</v>
      </c>
      <c r="M82" t="s">
        <v>1003</v>
      </c>
      <c r="N82" t="s">
        <v>369</v>
      </c>
      <c r="O82" t="s">
        <v>1004</v>
      </c>
      <c r="P82" t="s">
        <v>924</v>
      </c>
      <c r="Q82" t="s">
        <v>370</v>
      </c>
    </row>
    <row r="83" spans="1:17" ht="14.25" customHeight="1" x14ac:dyDescent="0.2">
      <c r="A83" s="572" t="s">
        <v>919</v>
      </c>
      <c r="B83" s="110">
        <f t="shared" si="1"/>
        <v>6.57</v>
      </c>
      <c r="C83" s="575">
        <v>45945</v>
      </c>
      <c r="D83" s="569">
        <v>45947</v>
      </c>
      <c r="E83" s="569">
        <v>45947</v>
      </c>
      <c r="F83" t="s">
        <v>1005</v>
      </c>
      <c r="G83" t="s">
        <v>1005</v>
      </c>
      <c r="H83" t="s">
        <v>367</v>
      </c>
      <c r="I83" t="s">
        <v>368</v>
      </c>
      <c r="J83" t="s">
        <v>696</v>
      </c>
      <c r="K83" t="s">
        <v>697</v>
      </c>
      <c r="L83" t="s">
        <v>698</v>
      </c>
      <c r="M83" t="s">
        <v>1006</v>
      </c>
      <c r="N83" t="s">
        <v>369</v>
      </c>
      <c r="O83" t="s">
        <v>1007</v>
      </c>
      <c r="P83" t="s">
        <v>924</v>
      </c>
      <c r="Q83" t="s">
        <v>370</v>
      </c>
    </row>
    <row r="84" spans="1:17" ht="14.25" customHeight="1" x14ac:dyDescent="0.2">
      <c r="A84" s="572" t="s">
        <v>919</v>
      </c>
      <c r="B84" s="110">
        <f t="shared" si="1"/>
        <v>6.5200000000000005</v>
      </c>
      <c r="C84" s="575">
        <v>45945</v>
      </c>
      <c r="D84" s="569">
        <v>45947</v>
      </c>
      <c r="E84" s="569">
        <v>45947</v>
      </c>
      <c r="F84" t="s">
        <v>1008</v>
      </c>
      <c r="G84" t="s">
        <v>370</v>
      </c>
      <c r="H84" t="s">
        <v>367</v>
      </c>
      <c r="I84" t="s">
        <v>368</v>
      </c>
      <c r="J84" t="s">
        <v>696</v>
      </c>
      <c r="K84" t="s">
        <v>744</v>
      </c>
      <c r="L84" t="s">
        <v>745</v>
      </c>
      <c r="M84" t="s">
        <v>1009</v>
      </c>
      <c r="N84" t="s">
        <v>747</v>
      </c>
      <c r="O84" t="s">
        <v>1010</v>
      </c>
      <c r="P84" t="s">
        <v>924</v>
      </c>
      <c r="Q84" t="s">
        <v>370</v>
      </c>
    </row>
    <row r="85" spans="1:17" ht="14.25" customHeight="1" x14ac:dyDescent="0.2">
      <c r="A85" s="572" t="s">
        <v>919</v>
      </c>
      <c r="B85" s="110">
        <f t="shared" si="1"/>
        <v>6.57</v>
      </c>
      <c r="C85" s="575">
        <v>45945</v>
      </c>
      <c r="D85" s="569">
        <v>45947</v>
      </c>
      <c r="E85" s="569">
        <v>45947</v>
      </c>
      <c r="F85" t="s">
        <v>1011</v>
      </c>
      <c r="G85" t="s">
        <v>1012</v>
      </c>
      <c r="H85" t="s">
        <v>367</v>
      </c>
      <c r="I85" t="s">
        <v>368</v>
      </c>
      <c r="J85" t="s">
        <v>696</v>
      </c>
      <c r="K85" t="s">
        <v>697</v>
      </c>
      <c r="L85" t="s">
        <v>698</v>
      </c>
      <c r="M85" t="s">
        <v>1013</v>
      </c>
      <c r="N85" t="s">
        <v>369</v>
      </c>
      <c r="O85" t="s">
        <v>1014</v>
      </c>
      <c r="P85" t="s">
        <v>924</v>
      </c>
      <c r="Q85" t="s">
        <v>370</v>
      </c>
    </row>
    <row r="86" spans="1:17" ht="14.25" customHeight="1" x14ac:dyDescent="0.2">
      <c r="A86" s="572" t="s">
        <v>919</v>
      </c>
      <c r="B86" s="110">
        <f t="shared" si="1"/>
        <v>6.5200000000000005</v>
      </c>
      <c r="C86" s="575">
        <v>45945</v>
      </c>
      <c r="D86" s="569">
        <v>45947</v>
      </c>
      <c r="E86" s="569">
        <v>45947</v>
      </c>
      <c r="F86" t="s">
        <v>1015</v>
      </c>
      <c r="G86" t="s">
        <v>370</v>
      </c>
      <c r="H86" t="s">
        <v>367</v>
      </c>
      <c r="I86" t="s">
        <v>368</v>
      </c>
      <c r="J86" t="s">
        <v>696</v>
      </c>
      <c r="K86" t="s">
        <v>744</v>
      </c>
      <c r="L86" t="s">
        <v>745</v>
      </c>
      <c r="M86" t="s">
        <v>1016</v>
      </c>
      <c r="N86" t="s">
        <v>747</v>
      </c>
      <c r="O86" t="s">
        <v>1017</v>
      </c>
      <c r="P86" t="s">
        <v>924</v>
      </c>
      <c r="Q86" t="s">
        <v>370</v>
      </c>
    </row>
    <row r="87" spans="1:17" ht="14.25" customHeight="1" x14ac:dyDescent="0.2">
      <c r="A87" s="572" t="s">
        <v>919</v>
      </c>
      <c r="B87" s="110">
        <f t="shared" si="1"/>
        <v>6.57</v>
      </c>
      <c r="C87" s="575">
        <v>45945</v>
      </c>
      <c r="D87" s="569">
        <v>45947</v>
      </c>
      <c r="E87" s="569">
        <v>45947</v>
      </c>
      <c r="F87" t="s">
        <v>1018</v>
      </c>
      <c r="G87" t="s">
        <v>370</v>
      </c>
      <c r="H87" t="s">
        <v>367</v>
      </c>
      <c r="I87" t="s">
        <v>368</v>
      </c>
      <c r="J87" t="s">
        <v>696</v>
      </c>
      <c r="K87" t="s">
        <v>697</v>
      </c>
      <c r="L87" t="s">
        <v>698</v>
      </c>
      <c r="M87" t="s">
        <v>1019</v>
      </c>
      <c r="N87" t="s">
        <v>741</v>
      </c>
      <c r="O87" t="s">
        <v>1020</v>
      </c>
      <c r="P87" t="s">
        <v>924</v>
      </c>
      <c r="Q87" t="s">
        <v>370</v>
      </c>
    </row>
    <row r="88" spans="1:17" ht="14.25" customHeight="1" x14ac:dyDescent="0.2">
      <c r="A88" s="572" t="s">
        <v>919</v>
      </c>
      <c r="B88" s="110">
        <f t="shared" si="1"/>
        <v>6.57</v>
      </c>
      <c r="C88" s="575">
        <v>45950</v>
      </c>
      <c r="D88" s="569">
        <v>45952</v>
      </c>
      <c r="E88" s="569">
        <v>45952</v>
      </c>
      <c r="F88" t="s">
        <v>1021</v>
      </c>
      <c r="G88" t="s">
        <v>370</v>
      </c>
      <c r="H88" t="s">
        <v>367</v>
      </c>
      <c r="I88" t="s">
        <v>368</v>
      </c>
      <c r="J88" t="s">
        <v>696</v>
      </c>
      <c r="K88" t="s">
        <v>697</v>
      </c>
      <c r="L88" t="s">
        <v>698</v>
      </c>
      <c r="M88" t="s">
        <v>1022</v>
      </c>
      <c r="N88" t="s">
        <v>781</v>
      </c>
      <c r="O88" t="s">
        <v>1023</v>
      </c>
      <c r="P88" t="s">
        <v>1024</v>
      </c>
      <c r="Q88" t="s">
        <v>370</v>
      </c>
    </row>
    <row r="89" spans="1:17" ht="14.25" customHeight="1" x14ac:dyDescent="0.2">
      <c r="A89" s="572" t="s">
        <v>920</v>
      </c>
      <c r="B89" s="110">
        <f t="shared" si="1"/>
        <v>8.5299999999999994</v>
      </c>
      <c r="C89" s="575">
        <v>45950</v>
      </c>
      <c r="D89" s="569">
        <v>45952</v>
      </c>
      <c r="E89" s="569">
        <v>45952</v>
      </c>
      <c r="F89" t="s">
        <v>1025</v>
      </c>
      <c r="G89" t="s">
        <v>370</v>
      </c>
      <c r="H89" t="s">
        <v>367</v>
      </c>
      <c r="I89" t="s">
        <v>368</v>
      </c>
      <c r="J89" t="s">
        <v>765</v>
      </c>
      <c r="K89" t="s">
        <v>766</v>
      </c>
      <c r="L89" t="s">
        <v>767</v>
      </c>
      <c r="M89" t="s">
        <v>1026</v>
      </c>
      <c r="N89" t="s">
        <v>741</v>
      </c>
      <c r="O89" t="s">
        <v>1027</v>
      </c>
      <c r="P89" t="s">
        <v>1024</v>
      </c>
      <c r="Q89" t="s">
        <v>370</v>
      </c>
    </row>
    <row r="90" spans="1:17" ht="14.25" customHeight="1" x14ac:dyDescent="0.2">
      <c r="A90" s="572" t="s">
        <v>920</v>
      </c>
      <c r="B90" s="110">
        <f t="shared" si="1"/>
        <v>8.5299999999999994</v>
      </c>
      <c r="C90" s="575">
        <v>45950</v>
      </c>
      <c r="D90" s="569">
        <v>45952</v>
      </c>
      <c r="E90" s="569">
        <v>45952</v>
      </c>
      <c r="F90" t="s">
        <v>1028</v>
      </c>
      <c r="G90" t="s">
        <v>370</v>
      </c>
      <c r="H90" t="s">
        <v>367</v>
      </c>
      <c r="I90" t="s">
        <v>368</v>
      </c>
      <c r="J90" t="s">
        <v>765</v>
      </c>
      <c r="K90" t="s">
        <v>766</v>
      </c>
      <c r="L90" t="s">
        <v>767</v>
      </c>
      <c r="M90" t="s">
        <v>1029</v>
      </c>
      <c r="N90" t="s">
        <v>741</v>
      </c>
      <c r="O90" t="s">
        <v>1030</v>
      </c>
      <c r="P90" t="s">
        <v>1024</v>
      </c>
      <c r="Q90" t="s">
        <v>370</v>
      </c>
    </row>
    <row r="91" spans="1:17" ht="14.25" customHeight="1" x14ac:dyDescent="0.2">
      <c r="A91" s="572" t="s">
        <v>919</v>
      </c>
      <c r="B91" s="110">
        <f t="shared" si="1"/>
        <v>6.5200000000000005</v>
      </c>
      <c r="C91" s="575">
        <v>45950</v>
      </c>
      <c r="D91" s="569">
        <v>45952</v>
      </c>
      <c r="E91" s="569">
        <v>45952</v>
      </c>
      <c r="F91" t="s">
        <v>1031</v>
      </c>
      <c r="G91" t="s">
        <v>370</v>
      </c>
      <c r="H91" t="s">
        <v>367</v>
      </c>
      <c r="I91" t="s">
        <v>368</v>
      </c>
      <c r="J91" t="s">
        <v>696</v>
      </c>
      <c r="K91" t="s">
        <v>744</v>
      </c>
      <c r="L91" t="s">
        <v>745</v>
      </c>
      <c r="M91" t="s">
        <v>1032</v>
      </c>
      <c r="N91" t="s">
        <v>747</v>
      </c>
      <c r="O91" t="s">
        <v>1033</v>
      </c>
      <c r="P91" t="s">
        <v>1024</v>
      </c>
      <c r="Q91" t="s">
        <v>370</v>
      </c>
    </row>
    <row r="92" spans="1:17" ht="14.25" customHeight="1" x14ac:dyDescent="0.2">
      <c r="A92" s="572" t="s">
        <v>919</v>
      </c>
      <c r="B92" s="110">
        <f t="shared" si="1"/>
        <v>6.57</v>
      </c>
      <c r="C92" s="575">
        <v>45950</v>
      </c>
      <c r="D92" s="569">
        <v>45952</v>
      </c>
      <c r="E92" s="569">
        <v>45952</v>
      </c>
      <c r="F92" t="s">
        <v>1034</v>
      </c>
      <c r="G92" t="s">
        <v>370</v>
      </c>
      <c r="H92" t="s">
        <v>367</v>
      </c>
      <c r="I92" t="s">
        <v>368</v>
      </c>
      <c r="J92" t="s">
        <v>696</v>
      </c>
      <c r="K92" t="s">
        <v>697</v>
      </c>
      <c r="L92" t="s">
        <v>698</v>
      </c>
      <c r="M92" t="s">
        <v>1035</v>
      </c>
      <c r="N92" t="s">
        <v>741</v>
      </c>
      <c r="O92" t="s">
        <v>1036</v>
      </c>
      <c r="P92" t="s">
        <v>1024</v>
      </c>
      <c r="Q92" t="s">
        <v>370</v>
      </c>
    </row>
    <row r="93" spans="1:17" ht="14.25" customHeight="1" x14ac:dyDescent="0.2">
      <c r="A93" s="572" t="s">
        <v>920</v>
      </c>
      <c r="B93" s="110">
        <f t="shared" si="1"/>
        <v>8.4700000000000006</v>
      </c>
      <c r="C93" s="575">
        <v>45950</v>
      </c>
      <c r="D93" s="569">
        <v>45952</v>
      </c>
      <c r="E93" s="569">
        <v>45952</v>
      </c>
      <c r="F93" t="s">
        <v>1037</v>
      </c>
      <c r="G93" t="s">
        <v>370</v>
      </c>
      <c r="H93" t="s">
        <v>367</v>
      </c>
      <c r="I93" t="s">
        <v>368</v>
      </c>
      <c r="J93" t="s">
        <v>765</v>
      </c>
      <c r="K93" t="s">
        <v>932</v>
      </c>
      <c r="L93" t="s">
        <v>933</v>
      </c>
      <c r="M93" t="s">
        <v>1038</v>
      </c>
      <c r="N93" t="s">
        <v>747</v>
      </c>
      <c r="O93" t="s">
        <v>1039</v>
      </c>
      <c r="P93" t="s">
        <v>1024</v>
      </c>
      <c r="Q93" t="s">
        <v>370</v>
      </c>
    </row>
    <row r="94" spans="1:17" ht="14.25" customHeight="1" x14ac:dyDescent="0.2">
      <c r="A94" s="572" t="s">
        <v>920</v>
      </c>
      <c r="B94" s="110">
        <f t="shared" si="1"/>
        <v>8.4700000000000006</v>
      </c>
      <c r="C94" s="575">
        <v>45950</v>
      </c>
      <c r="D94" s="569">
        <v>45952</v>
      </c>
      <c r="E94" s="569">
        <v>45952</v>
      </c>
      <c r="F94" t="s">
        <v>1040</v>
      </c>
      <c r="G94" t="s">
        <v>370</v>
      </c>
      <c r="H94" t="s">
        <v>367</v>
      </c>
      <c r="I94" t="s">
        <v>368</v>
      </c>
      <c r="J94" t="s">
        <v>765</v>
      </c>
      <c r="K94" t="s">
        <v>932</v>
      </c>
      <c r="L94" t="s">
        <v>933</v>
      </c>
      <c r="M94" t="s">
        <v>1041</v>
      </c>
      <c r="N94" t="s">
        <v>747</v>
      </c>
      <c r="O94" t="s">
        <v>1042</v>
      </c>
      <c r="P94" t="s">
        <v>1024</v>
      </c>
      <c r="Q94" t="s">
        <v>370</v>
      </c>
    </row>
    <row r="95" spans="1:17" ht="14.25" customHeight="1" x14ac:dyDescent="0.2">
      <c r="A95" s="572" t="s">
        <v>920</v>
      </c>
      <c r="B95" s="110">
        <f t="shared" si="1"/>
        <v>8.4700000000000006</v>
      </c>
      <c r="C95" s="575">
        <v>45951</v>
      </c>
      <c r="D95" s="569">
        <v>45953</v>
      </c>
      <c r="E95" s="569">
        <v>45953</v>
      </c>
      <c r="F95" t="s">
        <v>1043</v>
      </c>
      <c r="G95" t="s">
        <v>370</v>
      </c>
      <c r="H95" t="s">
        <v>367</v>
      </c>
      <c r="I95" t="s">
        <v>368</v>
      </c>
      <c r="J95" t="s">
        <v>765</v>
      </c>
      <c r="K95" t="s">
        <v>932</v>
      </c>
      <c r="L95" t="s">
        <v>933</v>
      </c>
      <c r="M95" t="s">
        <v>1044</v>
      </c>
      <c r="N95" t="s">
        <v>747</v>
      </c>
      <c r="O95" t="s">
        <v>1045</v>
      </c>
      <c r="P95" t="s">
        <v>1046</v>
      </c>
      <c r="Q95" t="s">
        <v>370</v>
      </c>
    </row>
    <row r="96" spans="1:17" ht="14.25" customHeight="1" x14ac:dyDescent="0.2">
      <c r="A96" s="572" t="s">
        <v>919</v>
      </c>
      <c r="B96" s="110">
        <f t="shared" si="1"/>
        <v>6.57</v>
      </c>
      <c r="C96" s="575">
        <v>45951</v>
      </c>
      <c r="D96" s="569">
        <v>45953</v>
      </c>
      <c r="E96" s="569">
        <v>45953</v>
      </c>
      <c r="F96" t="s">
        <v>1047</v>
      </c>
      <c r="G96" t="s">
        <v>370</v>
      </c>
      <c r="H96" t="s">
        <v>367</v>
      </c>
      <c r="I96" t="s">
        <v>368</v>
      </c>
      <c r="J96" t="s">
        <v>696</v>
      </c>
      <c r="K96" t="s">
        <v>697</v>
      </c>
      <c r="L96" t="s">
        <v>698</v>
      </c>
      <c r="M96" t="s">
        <v>1048</v>
      </c>
      <c r="N96" t="s">
        <v>741</v>
      </c>
      <c r="O96" t="s">
        <v>1049</v>
      </c>
      <c r="P96" t="s">
        <v>1046</v>
      </c>
      <c r="Q96" t="s">
        <v>370</v>
      </c>
    </row>
    <row r="97" spans="1:17" ht="14.25" customHeight="1" x14ac:dyDescent="0.2">
      <c r="A97" s="572" t="s">
        <v>920</v>
      </c>
      <c r="B97" s="110">
        <f t="shared" si="1"/>
        <v>8.5299999999999994</v>
      </c>
      <c r="C97" s="575">
        <v>45951</v>
      </c>
      <c r="D97" s="569">
        <v>45953</v>
      </c>
      <c r="E97" s="569">
        <v>45953</v>
      </c>
      <c r="F97" t="s">
        <v>1050</v>
      </c>
      <c r="G97" t="s">
        <v>370</v>
      </c>
      <c r="H97" t="s">
        <v>367</v>
      </c>
      <c r="I97" t="s">
        <v>368</v>
      </c>
      <c r="J97" t="s">
        <v>765</v>
      </c>
      <c r="K97" t="s">
        <v>766</v>
      </c>
      <c r="L97" t="s">
        <v>767</v>
      </c>
      <c r="M97" t="s">
        <v>1051</v>
      </c>
      <c r="N97" t="s">
        <v>741</v>
      </c>
      <c r="O97" t="s">
        <v>1052</v>
      </c>
      <c r="P97" t="s">
        <v>1046</v>
      </c>
      <c r="Q97" t="s">
        <v>370</v>
      </c>
    </row>
    <row r="98" spans="1:17" ht="14.25" customHeight="1" x14ac:dyDescent="0.2">
      <c r="A98" s="572" t="s">
        <v>919</v>
      </c>
      <c r="B98" s="110">
        <f t="shared" si="1"/>
        <v>6.57</v>
      </c>
      <c r="C98" s="575">
        <v>45951</v>
      </c>
      <c r="D98" s="569">
        <v>45953</v>
      </c>
      <c r="E98" s="569">
        <v>45953</v>
      </c>
      <c r="F98" t="s">
        <v>1053</v>
      </c>
      <c r="G98" t="s">
        <v>370</v>
      </c>
      <c r="H98" t="s">
        <v>367</v>
      </c>
      <c r="I98" t="s">
        <v>368</v>
      </c>
      <c r="J98" t="s">
        <v>696</v>
      </c>
      <c r="K98" t="s">
        <v>697</v>
      </c>
      <c r="L98" t="s">
        <v>698</v>
      </c>
      <c r="M98" t="s">
        <v>1054</v>
      </c>
      <c r="N98" t="s">
        <v>741</v>
      </c>
      <c r="O98" t="s">
        <v>1055</v>
      </c>
      <c r="P98" t="s">
        <v>1046</v>
      </c>
      <c r="Q98" t="s">
        <v>370</v>
      </c>
    </row>
    <row r="99" spans="1:17" ht="14.25" customHeight="1" x14ac:dyDescent="0.2">
      <c r="A99" s="572" t="s">
        <v>919</v>
      </c>
      <c r="B99" s="110">
        <f t="shared" si="1"/>
        <v>6.57</v>
      </c>
      <c r="C99" s="575">
        <v>45951</v>
      </c>
      <c r="D99" s="569">
        <v>45953</v>
      </c>
      <c r="E99" s="569">
        <v>45953</v>
      </c>
      <c r="F99" t="s">
        <v>1056</v>
      </c>
      <c r="G99" t="s">
        <v>1056</v>
      </c>
      <c r="H99" t="s">
        <v>367</v>
      </c>
      <c r="I99" t="s">
        <v>368</v>
      </c>
      <c r="J99" t="s">
        <v>696</v>
      </c>
      <c r="K99" t="s">
        <v>697</v>
      </c>
      <c r="L99" t="s">
        <v>698</v>
      </c>
      <c r="M99" t="s">
        <v>1057</v>
      </c>
      <c r="N99" t="s">
        <v>369</v>
      </c>
      <c r="O99" t="s">
        <v>1058</v>
      </c>
      <c r="P99" t="s">
        <v>1046</v>
      </c>
      <c r="Q99" t="s">
        <v>370</v>
      </c>
    </row>
    <row r="100" spans="1:17" ht="14.25" customHeight="1" x14ac:dyDescent="0.2">
      <c r="A100" s="572" t="s">
        <v>919</v>
      </c>
      <c r="B100" s="110">
        <f t="shared" si="1"/>
        <v>6.57</v>
      </c>
      <c r="C100" s="575">
        <v>45951</v>
      </c>
      <c r="D100" s="569">
        <v>45953</v>
      </c>
      <c r="E100" s="569">
        <v>45953</v>
      </c>
      <c r="F100" t="s">
        <v>1059</v>
      </c>
      <c r="G100" t="s">
        <v>1059</v>
      </c>
      <c r="H100" t="s">
        <v>367</v>
      </c>
      <c r="I100" t="s">
        <v>368</v>
      </c>
      <c r="J100" t="s">
        <v>696</v>
      </c>
      <c r="K100" t="s">
        <v>697</v>
      </c>
      <c r="L100" t="s">
        <v>698</v>
      </c>
      <c r="M100" t="s">
        <v>1060</v>
      </c>
      <c r="N100" t="s">
        <v>369</v>
      </c>
      <c r="O100" t="s">
        <v>1061</v>
      </c>
      <c r="P100" t="s">
        <v>1046</v>
      </c>
      <c r="Q100" t="s">
        <v>370</v>
      </c>
    </row>
    <row r="101" spans="1:17" ht="14.25" customHeight="1" x14ac:dyDescent="0.2">
      <c r="A101" s="572" t="s">
        <v>919</v>
      </c>
      <c r="B101" s="110">
        <f t="shared" si="1"/>
        <v>6.57</v>
      </c>
      <c r="C101" s="575">
        <v>45951</v>
      </c>
      <c r="D101" s="569">
        <v>45953</v>
      </c>
      <c r="E101" s="569">
        <v>45953</v>
      </c>
      <c r="F101" t="s">
        <v>1062</v>
      </c>
      <c r="G101" t="s">
        <v>370</v>
      </c>
      <c r="H101" t="s">
        <v>367</v>
      </c>
      <c r="I101" t="s">
        <v>368</v>
      </c>
      <c r="J101" t="s">
        <v>696</v>
      </c>
      <c r="K101" t="s">
        <v>697</v>
      </c>
      <c r="L101" t="s">
        <v>698</v>
      </c>
      <c r="M101" t="s">
        <v>1063</v>
      </c>
      <c r="N101" t="s">
        <v>741</v>
      </c>
      <c r="O101" t="s">
        <v>1064</v>
      </c>
      <c r="P101" t="s">
        <v>1046</v>
      </c>
      <c r="Q101" t="s">
        <v>370</v>
      </c>
    </row>
    <row r="102" spans="1:17" ht="14.25" customHeight="1" x14ac:dyDescent="0.2">
      <c r="A102" s="572" t="s">
        <v>919</v>
      </c>
      <c r="B102" s="110">
        <f t="shared" si="1"/>
        <v>6.5200000000000005</v>
      </c>
      <c r="C102" s="575">
        <v>45951</v>
      </c>
      <c r="D102" s="569">
        <v>45953</v>
      </c>
      <c r="E102" s="569">
        <v>45953</v>
      </c>
      <c r="F102" t="s">
        <v>1065</v>
      </c>
      <c r="G102" t="s">
        <v>370</v>
      </c>
      <c r="H102" t="s">
        <v>367</v>
      </c>
      <c r="I102" t="s">
        <v>368</v>
      </c>
      <c r="J102" t="s">
        <v>696</v>
      </c>
      <c r="K102" t="s">
        <v>744</v>
      </c>
      <c r="L102" t="s">
        <v>745</v>
      </c>
      <c r="M102" t="s">
        <v>1066</v>
      </c>
      <c r="N102" t="s">
        <v>747</v>
      </c>
      <c r="O102" t="s">
        <v>1067</v>
      </c>
      <c r="P102" t="s">
        <v>1046</v>
      </c>
      <c r="Q102" t="s">
        <v>370</v>
      </c>
    </row>
    <row r="103" spans="1:17" ht="14.25" customHeight="1" x14ac:dyDescent="0.2">
      <c r="A103" s="572" t="s">
        <v>920</v>
      </c>
      <c r="B103" s="110">
        <f t="shared" si="1"/>
        <v>8.4700000000000006</v>
      </c>
      <c r="C103" s="575">
        <v>45951</v>
      </c>
      <c r="D103" s="569">
        <v>45953</v>
      </c>
      <c r="E103" s="569">
        <v>45953</v>
      </c>
      <c r="F103" t="s">
        <v>1068</v>
      </c>
      <c r="G103" t="s">
        <v>370</v>
      </c>
      <c r="H103" t="s">
        <v>367</v>
      </c>
      <c r="I103" t="s">
        <v>368</v>
      </c>
      <c r="J103" t="s">
        <v>765</v>
      </c>
      <c r="K103" t="s">
        <v>932</v>
      </c>
      <c r="L103" t="s">
        <v>933</v>
      </c>
      <c r="M103" t="s">
        <v>1069</v>
      </c>
      <c r="N103" t="s">
        <v>747</v>
      </c>
      <c r="O103" t="s">
        <v>1070</v>
      </c>
      <c r="P103" t="s">
        <v>1046</v>
      </c>
      <c r="Q103" t="s">
        <v>370</v>
      </c>
    </row>
    <row r="104" spans="1:17" ht="14.25" customHeight="1" x14ac:dyDescent="0.2">
      <c r="A104" s="572" t="s">
        <v>919</v>
      </c>
      <c r="B104" s="110">
        <f t="shared" si="1"/>
        <v>6.57</v>
      </c>
      <c r="C104" s="575">
        <v>45951</v>
      </c>
      <c r="D104" s="569">
        <v>45953</v>
      </c>
      <c r="E104" s="569">
        <v>45953</v>
      </c>
      <c r="F104" t="s">
        <v>1071</v>
      </c>
      <c r="G104" t="s">
        <v>370</v>
      </c>
      <c r="H104" t="s">
        <v>367</v>
      </c>
      <c r="I104" t="s">
        <v>368</v>
      </c>
      <c r="J104" t="s">
        <v>696</v>
      </c>
      <c r="K104" t="s">
        <v>697</v>
      </c>
      <c r="L104" t="s">
        <v>698</v>
      </c>
      <c r="M104" t="s">
        <v>1072</v>
      </c>
      <c r="N104" t="s">
        <v>741</v>
      </c>
      <c r="O104" t="s">
        <v>1073</v>
      </c>
      <c r="P104" t="s">
        <v>1046</v>
      </c>
      <c r="Q104" t="s">
        <v>370</v>
      </c>
    </row>
    <row r="105" spans="1:17" ht="14.25" customHeight="1" x14ac:dyDescent="0.2">
      <c r="A105" s="572" t="s">
        <v>919</v>
      </c>
      <c r="B105" s="110">
        <f t="shared" si="1"/>
        <v>6.5200000000000005</v>
      </c>
      <c r="C105" s="575">
        <v>45951</v>
      </c>
      <c r="D105" s="569">
        <v>45953</v>
      </c>
      <c r="E105" s="569">
        <v>45953</v>
      </c>
      <c r="F105" t="s">
        <v>1074</v>
      </c>
      <c r="G105" t="s">
        <v>370</v>
      </c>
      <c r="H105" t="s">
        <v>367</v>
      </c>
      <c r="I105" t="s">
        <v>368</v>
      </c>
      <c r="J105" t="s">
        <v>696</v>
      </c>
      <c r="K105" t="s">
        <v>744</v>
      </c>
      <c r="L105" t="s">
        <v>745</v>
      </c>
      <c r="M105" t="s">
        <v>1075</v>
      </c>
      <c r="N105" t="s">
        <v>747</v>
      </c>
      <c r="O105" t="s">
        <v>1076</v>
      </c>
      <c r="P105" t="s">
        <v>1046</v>
      </c>
      <c r="Q105" t="s">
        <v>370</v>
      </c>
    </row>
    <row r="106" spans="1:17" ht="14.25" customHeight="1" x14ac:dyDescent="0.2">
      <c r="A106" s="572" t="s">
        <v>919</v>
      </c>
      <c r="B106" s="110">
        <f t="shared" si="1"/>
        <v>6.5200000000000005</v>
      </c>
      <c r="C106" s="575">
        <v>45951</v>
      </c>
      <c r="D106" s="569">
        <v>45953</v>
      </c>
      <c r="E106" s="569">
        <v>45953</v>
      </c>
      <c r="F106" t="s">
        <v>1077</v>
      </c>
      <c r="G106" t="s">
        <v>370</v>
      </c>
      <c r="H106" t="s">
        <v>367</v>
      </c>
      <c r="I106" t="s">
        <v>368</v>
      </c>
      <c r="J106" t="s">
        <v>696</v>
      </c>
      <c r="K106" t="s">
        <v>744</v>
      </c>
      <c r="L106" t="s">
        <v>745</v>
      </c>
      <c r="M106" s="574" t="s">
        <v>1078</v>
      </c>
      <c r="N106" t="s">
        <v>747</v>
      </c>
      <c r="O106" t="s">
        <v>1079</v>
      </c>
      <c r="P106" t="s">
        <v>1046</v>
      </c>
      <c r="Q106" t="s">
        <v>370</v>
      </c>
    </row>
    <row r="107" spans="1:17" ht="14.25" customHeight="1" x14ac:dyDescent="0.2">
      <c r="A107" s="572" t="s">
        <v>920</v>
      </c>
      <c r="B107" s="110">
        <f t="shared" si="1"/>
        <v>8.5299999999999994</v>
      </c>
      <c r="C107" s="575">
        <v>45951</v>
      </c>
      <c r="D107" s="569">
        <v>45953</v>
      </c>
      <c r="E107" s="569">
        <v>45953</v>
      </c>
      <c r="F107" t="s">
        <v>1080</v>
      </c>
      <c r="G107" t="s">
        <v>370</v>
      </c>
      <c r="H107" t="s">
        <v>367</v>
      </c>
      <c r="I107" t="s">
        <v>368</v>
      </c>
      <c r="J107" t="s">
        <v>765</v>
      </c>
      <c r="K107" t="s">
        <v>766</v>
      </c>
      <c r="L107" t="s">
        <v>767</v>
      </c>
      <c r="M107" t="s">
        <v>1081</v>
      </c>
      <c r="N107" t="s">
        <v>741</v>
      </c>
      <c r="O107" t="s">
        <v>1082</v>
      </c>
      <c r="P107" t="s">
        <v>1046</v>
      </c>
      <c r="Q107" t="s">
        <v>370</v>
      </c>
    </row>
    <row r="108" spans="1:17" ht="14.25" customHeight="1" x14ac:dyDescent="0.2">
      <c r="A108" s="572" t="s">
        <v>920</v>
      </c>
      <c r="B108" s="110">
        <f t="shared" si="1"/>
        <v>8.4700000000000006</v>
      </c>
      <c r="C108" s="575">
        <v>45951</v>
      </c>
      <c r="D108" s="569">
        <v>45953</v>
      </c>
      <c r="E108" s="569">
        <v>45953</v>
      </c>
      <c r="F108" t="s">
        <v>1083</v>
      </c>
      <c r="G108" t="s">
        <v>370</v>
      </c>
      <c r="H108" t="s">
        <v>367</v>
      </c>
      <c r="I108" t="s">
        <v>368</v>
      </c>
      <c r="J108" t="s">
        <v>765</v>
      </c>
      <c r="K108" t="s">
        <v>932</v>
      </c>
      <c r="L108" t="s">
        <v>933</v>
      </c>
      <c r="M108" t="s">
        <v>1084</v>
      </c>
      <c r="N108" t="s">
        <v>747</v>
      </c>
      <c r="O108" t="s">
        <v>1085</v>
      </c>
      <c r="P108" t="s">
        <v>1046</v>
      </c>
      <c r="Q108" t="s">
        <v>370</v>
      </c>
    </row>
    <row r="109" spans="1:17" ht="14.25" customHeight="1" x14ac:dyDescent="0.2">
      <c r="A109" s="572" t="s">
        <v>920</v>
      </c>
      <c r="B109" s="110">
        <f t="shared" si="1"/>
        <v>8.5299999999999994</v>
      </c>
      <c r="C109" s="575">
        <v>45951</v>
      </c>
      <c r="D109" s="569">
        <v>45953</v>
      </c>
      <c r="E109" s="569">
        <v>45953</v>
      </c>
      <c r="F109" t="s">
        <v>1086</v>
      </c>
      <c r="G109" t="s">
        <v>1086</v>
      </c>
      <c r="H109" t="s">
        <v>367</v>
      </c>
      <c r="I109" t="s">
        <v>368</v>
      </c>
      <c r="J109" t="s">
        <v>765</v>
      </c>
      <c r="K109" t="s">
        <v>766</v>
      </c>
      <c r="L109" t="s">
        <v>767</v>
      </c>
      <c r="M109" t="s">
        <v>1087</v>
      </c>
      <c r="N109" t="s">
        <v>369</v>
      </c>
      <c r="O109" t="s">
        <v>1088</v>
      </c>
      <c r="P109" t="s">
        <v>1046</v>
      </c>
      <c r="Q109" t="s">
        <v>370</v>
      </c>
    </row>
    <row r="110" spans="1:17" ht="14.25" customHeight="1" x14ac:dyDescent="0.2">
      <c r="A110" s="572" t="s">
        <v>919</v>
      </c>
      <c r="B110" s="110">
        <f t="shared" si="1"/>
        <v>6.57</v>
      </c>
      <c r="C110" s="575">
        <v>45951</v>
      </c>
      <c r="D110" s="569">
        <v>45953</v>
      </c>
      <c r="E110" s="569">
        <v>45953</v>
      </c>
      <c r="F110" t="s">
        <v>1089</v>
      </c>
      <c r="G110" t="s">
        <v>370</v>
      </c>
      <c r="H110" t="s">
        <v>367</v>
      </c>
      <c r="I110" t="s">
        <v>368</v>
      </c>
      <c r="J110" t="s">
        <v>696</v>
      </c>
      <c r="K110" t="s">
        <v>697</v>
      </c>
      <c r="L110" t="s">
        <v>698</v>
      </c>
      <c r="M110" t="s">
        <v>1090</v>
      </c>
      <c r="N110" t="s">
        <v>741</v>
      </c>
      <c r="O110" t="s">
        <v>1091</v>
      </c>
      <c r="P110" t="s">
        <v>1046</v>
      </c>
      <c r="Q110" t="s">
        <v>370</v>
      </c>
    </row>
    <row r="111" spans="1:17" ht="14.25" customHeight="1" x14ac:dyDescent="0.2">
      <c r="A111" s="572" t="s">
        <v>920</v>
      </c>
      <c r="B111" s="110">
        <f t="shared" si="1"/>
        <v>8.4700000000000006</v>
      </c>
      <c r="C111" s="575">
        <v>45952</v>
      </c>
      <c r="D111" s="569">
        <v>45954</v>
      </c>
      <c r="E111" s="569">
        <v>45954</v>
      </c>
      <c r="F111" t="s">
        <v>1092</v>
      </c>
      <c r="G111" t="s">
        <v>370</v>
      </c>
      <c r="H111" t="s">
        <v>367</v>
      </c>
      <c r="I111" t="s">
        <v>368</v>
      </c>
      <c r="J111" t="s">
        <v>765</v>
      </c>
      <c r="K111" t="s">
        <v>932</v>
      </c>
      <c r="L111" t="s">
        <v>933</v>
      </c>
      <c r="M111" t="s">
        <v>1093</v>
      </c>
      <c r="N111" t="s">
        <v>747</v>
      </c>
      <c r="O111" t="s">
        <v>1094</v>
      </c>
      <c r="P111" t="s">
        <v>1095</v>
      </c>
      <c r="Q111" t="s">
        <v>370</v>
      </c>
    </row>
    <row r="112" spans="1:17" ht="14.25" customHeight="1" x14ac:dyDescent="0.2">
      <c r="A112" s="572" t="s">
        <v>919</v>
      </c>
      <c r="B112" s="110">
        <f t="shared" si="1"/>
        <v>6.57</v>
      </c>
      <c r="C112" s="575">
        <v>45952</v>
      </c>
      <c r="D112" s="569">
        <v>45954</v>
      </c>
      <c r="E112" s="569">
        <v>45954</v>
      </c>
      <c r="F112" t="s">
        <v>1096</v>
      </c>
      <c r="G112" t="s">
        <v>370</v>
      </c>
      <c r="H112" t="s">
        <v>367</v>
      </c>
      <c r="I112" t="s">
        <v>368</v>
      </c>
      <c r="J112" t="s">
        <v>696</v>
      </c>
      <c r="K112" t="s">
        <v>697</v>
      </c>
      <c r="L112" t="s">
        <v>698</v>
      </c>
      <c r="M112" t="s">
        <v>1097</v>
      </c>
      <c r="N112" t="s">
        <v>741</v>
      </c>
      <c r="O112" t="s">
        <v>1098</v>
      </c>
      <c r="P112" t="s">
        <v>1095</v>
      </c>
      <c r="Q112" t="s">
        <v>370</v>
      </c>
    </row>
    <row r="113" spans="1:17" ht="14.25" customHeight="1" x14ac:dyDescent="0.2">
      <c r="A113" s="572" t="s">
        <v>920</v>
      </c>
      <c r="B113" s="110">
        <f t="shared" si="1"/>
        <v>8.4700000000000006</v>
      </c>
      <c r="C113" s="575">
        <v>45952</v>
      </c>
      <c r="D113" s="569">
        <v>45954</v>
      </c>
      <c r="E113" s="569">
        <v>45954</v>
      </c>
      <c r="F113" t="s">
        <v>1099</v>
      </c>
      <c r="G113" t="s">
        <v>370</v>
      </c>
      <c r="H113" t="s">
        <v>367</v>
      </c>
      <c r="I113" t="s">
        <v>368</v>
      </c>
      <c r="J113" t="s">
        <v>765</v>
      </c>
      <c r="K113" t="s">
        <v>932</v>
      </c>
      <c r="L113" t="s">
        <v>933</v>
      </c>
      <c r="M113" t="s">
        <v>1100</v>
      </c>
      <c r="N113" t="s">
        <v>747</v>
      </c>
      <c r="O113" t="s">
        <v>1101</v>
      </c>
      <c r="P113" t="s">
        <v>1095</v>
      </c>
      <c r="Q113" t="s">
        <v>370</v>
      </c>
    </row>
    <row r="114" spans="1:17" ht="14.25" customHeight="1" x14ac:dyDescent="0.2">
      <c r="A114" s="572" t="s">
        <v>920</v>
      </c>
      <c r="B114" s="110">
        <f t="shared" si="1"/>
        <v>8.4700000000000006</v>
      </c>
      <c r="C114" s="575">
        <v>45952</v>
      </c>
      <c r="D114" s="569">
        <v>45954</v>
      </c>
      <c r="E114" s="569">
        <v>45954</v>
      </c>
      <c r="F114" t="s">
        <v>1102</v>
      </c>
      <c r="G114" t="s">
        <v>370</v>
      </c>
      <c r="H114" t="s">
        <v>367</v>
      </c>
      <c r="I114" t="s">
        <v>368</v>
      </c>
      <c r="J114" t="s">
        <v>765</v>
      </c>
      <c r="K114" t="s">
        <v>932</v>
      </c>
      <c r="L114" t="s">
        <v>933</v>
      </c>
      <c r="M114" t="s">
        <v>1103</v>
      </c>
      <c r="N114" t="s">
        <v>747</v>
      </c>
      <c r="O114" s="574" t="s">
        <v>1104</v>
      </c>
      <c r="P114" t="s">
        <v>1095</v>
      </c>
      <c r="Q114" t="s">
        <v>370</v>
      </c>
    </row>
    <row r="115" spans="1:17" ht="14.25" customHeight="1" x14ac:dyDescent="0.2">
      <c r="A115" s="572" t="s">
        <v>919</v>
      </c>
      <c r="B115" s="110">
        <f t="shared" si="1"/>
        <v>6.57</v>
      </c>
      <c r="C115" s="575">
        <v>45952</v>
      </c>
      <c r="D115" s="569">
        <v>45954</v>
      </c>
      <c r="E115" s="569">
        <v>45954</v>
      </c>
      <c r="F115" t="s">
        <v>1105</v>
      </c>
      <c r="G115" t="s">
        <v>370</v>
      </c>
      <c r="H115" t="s">
        <v>367</v>
      </c>
      <c r="I115" t="s">
        <v>368</v>
      </c>
      <c r="J115" t="s">
        <v>696</v>
      </c>
      <c r="K115" t="s">
        <v>697</v>
      </c>
      <c r="L115" t="s">
        <v>698</v>
      </c>
      <c r="M115" t="s">
        <v>1106</v>
      </c>
      <c r="N115" t="s">
        <v>741</v>
      </c>
      <c r="O115" t="s">
        <v>1107</v>
      </c>
      <c r="P115" t="s">
        <v>1095</v>
      </c>
      <c r="Q115" t="s">
        <v>370</v>
      </c>
    </row>
    <row r="116" spans="1:17" ht="14.25" customHeight="1" x14ac:dyDescent="0.2">
      <c r="A116" s="572" t="s">
        <v>919</v>
      </c>
      <c r="B116" s="110">
        <f t="shared" si="1"/>
        <v>6.5200000000000005</v>
      </c>
      <c r="C116" s="575">
        <v>45954</v>
      </c>
      <c r="D116" s="569">
        <v>45957</v>
      </c>
      <c r="E116" s="569">
        <v>45957</v>
      </c>
      <c r="F116" t="s">
        <v>1108</v>
      </c>
      <c r="G116" t="s">
        <v>370</v>
      </c>
      <c r="H116" t="s">
        <v>367</v>
      </c>
      <c r="I116" t="s">
        <v>368</v>
      </c>
      <c r="J116" t="s">
        <v>696</v>
      </c>
      <c r="K116" t="s">
        <v>744</v>
      </c>
      <c r="L116" t="s">
        <v>745</v>
      </c>
      <c r="M116" t="s">
        <v>1109</v>
      </c>
      <c r="N116" t="s">
        <v>747</v>
      </c>
      <c r="O116" t="s">
        <v>1110</v>
      </c>
      <c r="P116" t="s">
        <v>1111</v>
      </c>
      <c r="Q116" t="s">
        <v>370</v>
      </c>
    </row>
    <row r="117" spans="1:17" ht="14.25" customHeight="1" x14ac:dyDescent="0.2">
      <c r="A117" s="572" t="s">
        <v>920</v>
      </c>
      <c r="B117" s="110">
        <f t="shared" si="1"/>
        <v>8.5299999999999994</v>
      </c>
      <c r="C117" s="575">
        <v>45953</v>
      </c>
      <c r="D117" s="569">
        <v>45957</v>
      </c>
      <c r="E117" s="569">
        <v>45957</v>
      </c>
      <c r="F117" t="s">
        <v>1112</v>
      </c>
      <c r="G117" t="s">
        <v>370</v>
      </c>
      <c r="H117" t="s">
        <v>367</v>
      </c>
      <c r="I117" t="s">
        <v>368</v>
      </c>
      <c r="J117" t="s">
        <v>765</v>
      </c>
      <c r="K117" t="s">
        <v>766</v>
      </c>
      <c r="L117" t="s">
        <v>767</v>
      </c>
      <c r="M117" t="s">
        <v>1113</v>
      </c>
      <c r="N117" t="s">
        <v>741</v>
      </c>
      <c r="O117" t="s">
        <v>1114</v>
      </c>
      <c r="P117" t="s">
        <v>1111</v>
      </c>
      <c r="Q117" t="s">
        <v>370</v>
      </c>
    </row>
    <row r="118" spans="1:17" ht="14.25" customHeight="1" x14ac:dyDescent="0.2">
      <c r="A118" s="572" t="s">
        <v>919</v>
      </c>
      <c r="B118" s="110">
        <f t="shared" si="1"/>
        <v>6.57</v>
      </c>
      <c r="C118" s="575">
        <v>45953</v>
      </c>
      <c r="D118" s="569">
        <v>45957</v>
      </c>
      <c r="E118" s="569">
        <v>45957</v>
      </c>
      <c r="F118" t="s">
        <v>1115</v>
      </c>
      <c r="G118" t="s">
        <v>370</v>
      </c>
      <c r="H118" t="s">
        <v>367</v>
      </c>
      <c r="I118" t="s">
        <v>368</v>
      </c>
      <c r="J118" t="s">
        <v>696</v>
      </c>
      <c r="K118" t="s">
        <v>697</v>
      </c>
      <c r="L118" t="s">
        <v>698</v>
      </c>
      <c r="M118" t="s">
        <v>1116</v>
      </c>
      <c r="N118" t="s">
        <v>741</v>
      </c>
      <c r="O118" t="s">
        <v>1117</v>
      </c>
      <c r="P118" t="s">
        <v>1111</v>
      </c>
      <c r="Q118" t="s">
        <v>370</v>
      </c>
    </row>
    <row r="119" spans="1:17" ht="14.25" customHeight="1" x14ac:dyDescent="0.2">
      <c r="A119" s="572" t="s">
        <v>919</v>
      </c>
      <c r="B119" s="110">
        <f t="shared" si="1"/>
        <v>6.57</v>
      </c>
      <c r="C119" s="575">
        <v>45953</v>
      </c>
      <c r="D119" s="569">
        <v>45957</v>
      </c>
      <c r="E119" s="569">
        <v>45957</v>
      </c>
      <c r="F119" t="s">
        <v>1118</v>
      </c>
      <c r="G119" t="s">
        <v>1118</v>
      </c>
      <c r="H119" t="s">
        <v>367</v>
      </c>
      <c r="I119" t="s">
        <v>368</v>
      </c>
      <c r="J119" t="s">
        <v>696</v>
      </c>
      <c r="K119" t="s">
        <v>697</v>
      </c>
      <c r="L119" t="s">
        <v>698</v>
      </c>
      <c r="M119" t="s">
        <v>1119</v>
      </c>
      <c r="N119" t="s">
        <v>369</v>
      </c>
      <c r="O119" t="s">
        <v>1120</v>
      </c>
      <c r="P119" t="s">
        <v>1111</v>
      </c>
      <c r="Q119" t="s">
        <v>370</v>
      </c>
    </row>
    <row r="120" spans="1:17" ht="14.25" customHeight="1" x14ac:dyDescent="0.2">
      <c r="A120" s="572" t="s">
        <v>919</v>
      </c>
      <c r="B120" s="110">
        <f t="shared" si="1"/>
        <v>6.5200000000000005</v>
      </c>
      <c r="C120" s="575">
        <v>45953</v>
      </c>
      <c r="D120" s="569">
        <v>45957</v>
      </c>
      <c r="E120" s="569">
        <v>45957</v>
      </c>
      <c r="F120" t="s">
        <v>1121</v>
      </c>
      <c r="G120" t="s">
        <v>370</v>
      </c>
      <c r="H120" t="s">
        <v>367</v>
      </c>
      <c r="I120" t="s">
        <v>368</v>
      </c>
      <c r="J120" t="s">
        <v>696</v>
      </c>
      <c r="K120" t="s">
        <v>744</v>
      </c>
      <c r="L120" t="s">
        <v>745</v>
      </c>
      <c r="M120" t="s">
        <v>1122</v>
      </c>
      <c r="N120" t="s">
        <v>747</v>
      </c>
      <c r="O120" t="s">
        <v>1123</v>
      </c>
      <c r="P120" t="s">
        <v>1111</v>
      </c>
      <c r="Q120" t="s">
        <v>370</v>
      </c>
    </row>
    <row r="121" spans="1:17" ht="14.25" customHeight="1" x14ac:dyDescent="0.2">
      <c r="A121" s="572" t="s">
        <v>919</v>
      </c>
      <c r="B121" s="110">
        <f t="shared" si="1"/>
        <v>6.5200000000000005</v>
      </c>
      <c r="C121" s="575">
        <v>45953</v>
      </c>
      <c r="D121" s="569">
        <v>45957</v>
      </c>
      <c r="E121" s="569">
        <v>45957</v>
      </c>
      <c r="F121" t="s">
        <v>1124</v>
      </c>
      <c r="G121" t="s">
        <v>370</v>
      </c>
      <c r="H121" t="s">
        <v>367</v>
      </c>
      <c r="I121" t="s">
        <v>368</v>
      </c>
      <c r="J121" t="s">
        <v>696</v>
      </c>
      <c r="K121" t="s">
        <v>744</v>
      </c>
      <c r="L121" t="s">
        <v>745</v>
      </c>
      <c r="M121" t="s">
        <v>1125</v>
      </c>
      <c r="N121" t="s">
        <v>747</v>
      </c>
      <c r="O121" t="s">
        <v>1126</v>
      </c>
      <c r="P121" t="s">
        <v>1111</v>
      </c>
      <c r="Q121" t="s">
        <v>370</v>
      </c>
    </row>
    <row r="122" spans="1:17" ht="14.25" customHeight="1" x14ac:dyDescent="0.2">
      <c r="A122" s="572" t="s">
        <v>919</v>
      </c>
      <c r="B122" s="110">
        <f t="shared" si="1"/>
        <v>6.57</v>
      </c>
      <c r="C122" s="575">
        <v>45953</v>
      </c>
      <c r="D122" s="569">
        <v>45957</v>
      </c>
      <c r="E122" s="569">
        <v>45957</v>
      </c>
      <c r="F122" t="s">
        <v>1127</v>
      </c>
      <c r="G122" t="s">
        <v>1128</v>
      </c>
      <c r="H122" t="s">
        <v>367</v>
      </c>
      <c r="I122" t="s">
        <v>368</v>
      </c>
      <c r="J122" t="s">
        <v>696</v>
      </c>
      <c r="K122" t="s">
        <v>697</v>
      </c>
      <c r="L122" t="s">
        <v>698</v>
      </c>
      <c r="M122" t="s">
        <v>1129</v>
      </c>
      <c r="N122" t="s">
        <v>369</v>
      </c>
      <c r="O122" t="s">
        <v>1130</v>
      </c>
      <c r="P122" t="s">
        <v>1111</v>
      </c>
      <c r="Q122" t="s">
        <v>370</v>
      </c>
    </row>
    <row r="123" spans="1:17" ht="14.25" customHeight="1" x14ac:dyDescent="0.2">
      <c r="A123" s="572" t="s">
        <v>919</v>
      </c>
      <c r="B123" s="110">
        <f t="shared" si="1"/>
        <v>6.5200000000000005</v>
      </c>
      <c r="C123" s="575">
        <v>45953</v>
      </c>
      <c r="D123" s="569">
        <v>45957</v>
      </c>
      <c r="E123" s="569">
        <v>45957</v>
      </c>
      <c r="F123" t="s">
        <v>1131</v>
      </c>
      <c r="G123" t="s">
        <v>370</v>
      </c>
      <c r="H123" t="s">
        <v>367</v>
      </c>
      <c r="I123" t="s">
        <v>368</v>
      </c>
      <c r="J123" t="s">
        <v>696</v>
      </c>
      <c r="K123" t="s">
        <v>744</v>
      </c>
      <c r="L123" t="s">
        <v>745</v>
      </c>
      <c r="M123" t="s">
        <v>1132</v>
      </c>
      <c r="N123" t="s">
        <v>747</v>
      </c>
      <c r="O123" t="s">
        <v>1133</v>
      </c>
      <c r="P123" t="s">
        <v>1111</v>
      </c>
      <c r="Q123" t="s">
        <v>370</v>
      </c>
    </row>
    <row r="124" spans="1:17" ht="14.25" customHeight="1" x14ac:dyDescent="0.2">
      <c r="A124" s="572" t="s">
        <v>919</v>
      </c>
      <c r="B124" s="110">
        <f t="shared" si="1"/>
        <v>6.5200000000000005</v>
      </c>
      <c r="C124" s="575">
        <v>45953</v>
      </c>
      <c r="D124" s="569">
        <v>45957</v>
      </c>
      <c r="E124" s="569">
        <v>45957</v>
      </c>
      <c r="F124" t="s">
        <v>1134</v>
      </c>
      <c r="G124" t="s">
        <v>370</v>
      </c>
      <c r="H124" t="s">
        <v>367</v>
      </c>
      <c r="I124" t="s">
        <v>368</v>
      </c>
      <c r="J124" t="s">
        <v>696</v>
      </c>
      <c r="K124" t="s">
        <v>744</v>
      </c>
      <c r="L124" t="s">
        <v>745</v>
      </c>
      <c r="M124" t="s">
        <v>1135</v>
      </c>
      <c r="N124" t="s">
        <v>747</v>
      </c>
      <c r="O124" t="s">
        <v>1136</v>
      </c>
      <c r="P124" t="s">
        <v>1111</v>
      </c>
      <c r="Q124" t="s">
        <v>370</v>
      </c>
    </row>
    <row r="125" spans="1:17" ht="14.25" customHeight="1" x14ac:dyDescent="0.2">
      <c r="A125" s="572" t="s">
        <v>919</v>
      </c>
      <c r="B125" s="110">
        <f t="shared" si="1"/>
        <v>6.57</v>
      </c>
      <c r="C125" s="575">
        <v>45953</v>
      </c>
      <c r="D125" s="569">
        <v>45957</v>
      </c>
      <c r="E125" s="569">
        <v>45957</v>
      </c>
      <c r="F125" t="s">
        <v>1137</v>
      </c>
      <c r="G125" t="s">
        <v>370</v>
      </c>
      <c r="H125" t="s">
        <v>367</v>
      </c>
      <c r="I125" t="s">
        <v>368</v>
      </c>
      <c r="J125" t="s">
        <v>696</v>
      </c>
      <c r="K125" t="s">
        <v>697</v>
      </c>
      <c r="L125" t="s">
        <v>698</v>
      </c>
      <c r="M125" t="s">
        <v>1138</v>
      </c>
      <c r="N125" t="s">
        <v>741</v>
      </c>
      <c r="O125" t="s">
        <v>1139</v>
      </c>
      <c r="P125" t="s">
        <v>1111</v>
      </c>
      <c r="Q125" t="s">
        <v>370</v>
      </c>
    </row>
    <row r="126" spans="1:17" ht="14.25" customHeight="1" x14ac:dyDescent="0.2">
      <c r="A126" s="572" t="s">
        <v>919</v>
      </c>
      <c r="B126" s="110">
        <f t="shared" si="1"/>
        <v>6.57</v>
      </c>
      <c r="C126" s="575">
        <v>45953</v>
      </c>
      <c r="D126" s="569">
        <v>45957</v>
      </c>
      <c r="E126" s="569">
        <v>45957</v>
      </c>
      <c r="F126" t="s">
        <v>1140</v>
      </c>
      <c r="G126" t="s">
        <v>1141</v>
      </c>
      <c r="H126" t="s">
        <v>367</v>
      </c>
      <c r="I126" t="s">
        <v>368</v>
      </c>
      <c r="J126" t="s">
        <v>696</v>
      </c>
      <c r="K126" t="s">
        <v>697</v>
      </c>
      <c r="L126" t="s">
        <v>698</v>
      </c>
      <c r="M126" t="s">
        <v>1142</v>
      </c>
      <c r="N126" t="s">
        <v>369</v>
      </c>
      <c r="O126" t="s">
        <v>1143</v>
      </c>
      <c r="P126" t="s">
        <v>1111</v>
      </c>
      <c r="Q126" t="s">
        <v>370</v>
      </c>
    </row>
    <row r="127" spans="1:17" ht="14.25" customHeight="1" x14ac:dyDescent="0.2">
      <c r="A127" s="572" t="s">
        <v>920</v>
      </c>
      <c r="B127" s="110">
        <f t="shared" si="1"/>
        <v>8.5299999999999994</v>
      </c>
      <c r="C127" s="575">
        <v>45953</v>
      </c>
      <c r="D127" s="569">
        <v>45957</v>
      </c>
      <c r="E127" s="569">
        <v>45957</v>
      </c>
      <c r="F127" t="s">
        <v>1144</v>
      </c>
      <c r="G127" t="s">
        <v>370</v>
      </c>
      <c r="H127" t="s">
        <v>367</v>
      </c>
      <c r="I127" t="s">
        <v>368</v>
      </c>
      <c r="J127" t="s">
        <v>765</v>
      </c>
      <c r="K127" t="s">
        <v>766</v>
      </c>
      <c r="L127" t="s">
        <v>767</v>
      </c>
      <c r="M127" t="s">
        <v>1145</v>
      </c>
      <c r="N127" t="s">
        <v>741</v>
      </c>
      <c r="O127" t="s">
        <v>1146</v>
      </c>
      <c r="P127" t="s">
        <v>1111</v>
      </c>
      <c r="Q127" t="s">
        <v>370</v>
      </c>
    </row>
    <row r="128" spans="1:17" ht="14.25" customHeight="1" x14ac:dyDescent="0.2">
      <c r="A128" s="572" t="s">
        <v>920</v>
      </c>
      <c r="B128" s="110">
        <f t="shared" si="1"/>
        <v>8.5299999999999994</v>
      </c>
      <c r="C128" s="575">
        <v>45953</v>
      </c>
      <c r="D128" s="569">
        <v>45957</v>
      </c>
      <c r="E128" s="569">
        <v>45957</v>
      </c>
      <c r="F128" t="s">
        <v>1147</v>
      </c>
      <c r="G128" t="s">
        <v>1147</v>
      </c>
      <c r="H128" t="s">
        <v>367</v>
      </c>
      <c r="I128" t="s">
        <v>368</v>
      </c>
      <c r="J128" t="s">
        <v>765</v>
      </c>
      <c r="K128" t="s">
        <v>766</v>
      </c>
      <c r="L128" t="s">
        <v>767</v>
      </c>
      <c r="M128" t="s">
        <v>1148</v>
      </c>
      <c r="N128" t="s">
        <v>369</v>
      </c>
      <c r="O128" t="s">
        <v>1149</v>
      </c>
      <c r="P128" t="s">
        <v>1111</v>
      </c>
      <c r="Q128" t="s">
        <v>370</v>
      </c>
    </row>
    <row r="129" spans="1:17" ht="14.25" customHeight="1" x14ac:dyDescent="0.2">
      <c r="A129" s="572" t="s">
        <v>919</v>
      </c>
      <c r="B129" s="110">
        <f t="shared" si="1"/>
        <v>6.57</v>
      </c>
      <c r="C129" s="575">
        <v>45953</v>
      </c>
      <c r="D129" s="569">
        <v>45957</v>
      </c>
      <c r="E129" s="569">
        <v>45957</v>
      </c>
      <c r="F129" t="s">
        <v>1150</v>
      </c>
      <c r="G129" t="s">
        <v>370</v>
      </c>
      <c r="H129" t="s">
        <v>367</v>
      </c>
      <c r="I129" t="s">
        <v>368</v>
      </c>
      <c r="J129" t="s">
        <v>696</v>
      </c>
      <c r="K129" t="s">
        <v>697</v>
      </c>
      <c r="L129" t="s">
        <v>698</v>
      </c>
      <c r="M129" s="574" t="s">
        <v>1151</v>
      </c>
      <c r="N129" t="s">
        <v>741</v>
      </c>
      <c r="O129" t="s">
        <v>1152</v>
      </c>
      <c r="P129" t="s">
        <v>1111</v>
      </c>
      <c r="Q129" t="s">
        <v>370</v>
      </c>
    </row>
    <row r="130" spans="1:17" ht="14.25" customHeight="1" x14ac:dyDescent="0.2">
      <c r="A130" s="572" t="s">
        <v>920</v>
      </c>
      <c r="B130" s="110">
        <f t="shared" ref="B130:B193" si="2">_xlfn.NUMBERVALUE(L130)*0.01</f>
        <v>8.5299999999999994</v>
      </c>
      <c r="C130" s="575">
        <v>45953</v>
      </c>
      <c r="D130" s="569">
        <v>45957</v>
      </c>
      <c r="E130" s="569">
        <v>45957</v>
      </c>
      <c r="F130" t="s">
        <v>1153</v>
      </c>
      <c r="G130" t="s">
        <v>370</v>
      </c>
      <c r="H130" t="s">
        <v>367</v>
      </c>
      <c r="I130" t="s">
        <v>368</v>
      </c>
      <c r="J130" t="s">
        <v>765</v>
      </c>
      <c r="K130" t="s">
        <v>766</v>
      </c>
      <c r="L130" t="s">
        <v>767</v>
      </c>
      <c r="M130" s="574" t="s">
        <v>1154</v>
      </c>
      <c r="N130" t="s">
        <v>741</v>
      </c>
      <c r="O130" t="s">
        <v>1155</v>
      </c>
      <c r="P130" t="s">
        <v>1111</v>
      </c>
      <c r="Q130" t="s">
        <v>370</v>
      </c>
    </row>
    <row r="131" spans="1:17" ht="14.25" customHeight="1" x14ac:dyDescent="0.2">
      <c r="A131" s="572" t="s">
        <v>919</v>
      </c>
      <c r="B131" s="110">
        <f t="shared" si="2"/>
        <v>6.5200000000000005</v>
      </c>
      <c r="C131" s="575">
        <v>45953</v>
      </c>
      <c r="D131" s="569">
        <v>45957</v>
      </c>
      <c r="E131" s="569">
        <v>45957</v>
      </c>
      <c r="F131" t="s">
        <v>1156</v>
      </c>
      <c r="G131" t="s">
        <v>370</v>
      </c>
      <c r="H131" t="s">
        <v>367</v>
      </c>
      <c r="I131" t="s">
        <v>368</v>
      </c>
      <c r="J131" t="s">
        <v>696</v>
      </c>
      <c r="K131" t="s">
        <v>744</v>
      </c>
      <c r="L131" t="s">
        <v>745</v>
      </c>
      <c r="M131" t="s">
        <v>1157</v>
      </c>
      <c r="N131" t="s">
        <v>747</v>
      </c>
      <c r="O131" t="s">
        <v>1158</v>
      </c>
      <c r="P131" t="s">
        <v>1111</v>
      </c>
      <c r="Q131" t="s">
        <v>370</v>
      </c>
    </row>
    <row r="132" spans="1:17" ht="14.25" customHeight="1" x14ac:dyDescent="0.2">
      <c r="A132" s="572" t="s">
        <v>919</v>
      </c>
      <c r="B132" s="110">
        <f t="shared" si="2"/>
        <v>6.5200000000000005</v>
      </c>
      <c r="C132" s="575">
        <v>45954</v>
      </c>
      <c r="D132" s="569">
        <v>45958</v>
      </c>
      <c r="E132" s="569">
        <v>45958</v>
      </c>
      <c r="F132" t="s">
        <v>1159</v>
      </c>
      <c r="G132" t="s">
        <v>370</v>
      </c>
      <c r="H132" t="s">
        <v>367</v>
      </c>
      <c r="I132" t="s">
        <v>368</v>
      </c>
      <c r="J132" t="s">
        <v>696</v>
      </c>
      <c r="K132" t="s">
        <v>744</v>
      </c>
      <c r="L132" t="s">
        <v>745</v>
      </c>
      <c r="M132" t="s">
        <v>1160</v>
      </c>
      <c r="N132" t="s">
        <v>747</v>
      </c>
      <c r="O132" t="s">
        <v>1161</v>
      </c>
      <c r="P132" t="s">
        <v>1162</v>
      </c>
      <c r="Q132" t="s">
        <v>370</v>
      </c>
    </row>
    <row r="133" spans="1:17" ht="14.25" customHeight="1" x14ac:dyDescent="0.2">
      <c r="A133" s="572" t="s">
        <v>919</v>
      </c>
      <c r="B133" s="110">
        <f t="shared" si="2"/>
        <v>6.5200000000000005</v>
      </c>
      <c r="C133" s="575">
        <v>45954</v>
      </c>
      <c r="D133" s="569">
        <v>45958</v>
      </c>
      <c r="E133" s="569">
        <v>45958</v>
      </c>
      <c r="F133" t="s">
        <v>1163</v>
      </c>
      <c r="G133" t="s">
        <v>370</v>
      </c>
      <c r="H133" t="s">
        <v>367</v>
      </c>
      <c r="I133" t="s">
        <v>368</v>
      </c>
      <c r="J133" t="s">
        <v>696</v>
      </c>
      <c r="K133" t="s">
        <v>744</v>
      </c>
      <c r="L133" t="s">
        <v>745</v>
      </c>
      <c r="M133" t="s">
        <v>1164</v>
      </c>
      <c r="N133" t="s">
        <v>747</v>
      </c>
      <c r="O133" t="s">
        <v>1165</v>
      </c>
      <c r="P133" t="s">
        <v>1162</v>
      </c>
      <c r="Q133" t="s">
        <v>370</v>
      </c>
    </row>
    <row r="134" spans="1:17" ht="14.25" customHeight="1" x14ac:dyDescent="0.2">
      <c r="A134" s="572" t="s">
        <v>919</v>
      </c>
      <c r="B134" s="110">
        <f t="shared" si="2"/>
        <v>6.57</v>
      </c>
      <c r="C134" s="575">
        <v>45954</v>
      </c>
      <c r="D134" s="569">
        <v>45958</v>
      </c>
      <c r="E134" s="569">
        <v>45958</v>
      </c>
      <c r="F134" t="s">
        <v>1166</v>
      </c>
      <c r="G134" t="s">
        <v>1167</v>
      </c>
      <c r="H134" t="s">
        <v>367</v>
      </c>
      <c r="I134" t="s">
        <v>368</v>
      </c>
      <c r="J134" t="s">
        <v>696</v>
      </c>
      <c r="K134" t="s">
        <v>697</v>
      </c>
      <c r="L134" t="s">
        <v>698</v>
      </c>
      <c r="M134" t="s">
        <v>1168</v>
      </c>
      <c r="N134" t="s">
        <v>369</v>
      </c>
      <c r="O134" t="s">
        <v>1169</v>
      </c>
      <c r="P134" t="s">
        <v>1162</v>
      </c>
      <c r="Q134" t="s">
        <v>370</v>
      </c>
    </row>
    <row r="135" spans="1:17" ht="14.25" customHeight="1" x14ac:dyDescent="0.2">
      <c r="A135" s="572" t="s">
        <v>919</v>
      </c>
      <c r="B135" s="110">
        <f t="shared" si="2"/>
        <v>6.5200000000000005</v>
      </c>
      <c r="C135" s="575">
        <v>45954</v>
      </c>
      <c r="D135" s="569">
        <v>45958</v>
      </c>
      <c r="E135" s="569">
        <v>45958</v>
      </c>
      <c r="F135" t="s">
        <v>1170</v>
      </c>
      <c r="G135" t="s">
        <v>370</v>
      </c>
      <c r="H135" t="s">
        <v>367</v>
      </c>
      <c r="I135" t="s">
        <v>368</v>
      </c>
      <c r="J135" t="s">
        <v>696</v>
      </c>
      <c r="K135" t="s">
        <v>744</v>
      </c>
      <c r="L135" t="s">
        <v>745</v>
      </c>
      <c r="M135" t="s">
        <v>1171</v>
      </c>
      <c r="N135" t="s">
        <v>747</v>
      </c>
      <c r="O135" t="s">
        <v>1172</v>
      </c>
      <c r="P135" t="s">
        <v>1162</v>
      </c>
      <c r="Q135" t="s">
        <v>370</v>
      </c>
    </row>
    <row r="136" spans="1:17" ht="14.25" customHeight="1" x14ac:dyDescent="0.2">
      <c r="A136" s="572" t="s">
        <v>919</v>
      </c>
      <c r="B136" s="110">
        <f t="shared" si="2"/>
        <v>6.57</v>
      </c>
      <c r="C136" s="575">
        <v>45954</v>
      </c>
      <c r="D136" s="569">
        <v>45958</v>
      </c>
      <c r="E136" s="569">
        <v>45958</v>
      </c>
      <c r="F136" t="s">
        <v>1173</v>
      </c>
      <c r="G136" t="s">
        <v>370</v>
      </c>
      <c r="H136" t="s">
        <v>367</v>
      </c>
      <c r="I136" t="s">
        <v>368</v>
      </c>
      <c r="J136" t="s">
        <v>696</v>
      </c>
      <c r="K136" t="s">
        <v>697</v>
      </c>
      <c r="L136" t="s">
        <v>698</v>
      </c>
      <c r="M136" t="s">
        <v>1174</v>
      </c>
      <c r="N136" t="s">
        <v>741</v>
      </c>
      <c r="O136" t="s">
        <v>1175</v>
      </c>
      <c r="P136" t="s">
        <v>1162</v>
      </c>
      <c r="Q136" t="s">
        <v>370</v>
      </c>
    </row>
    <row r="137" spans="1:17" ht="14.25" customHeight="1" x14ac:dyDescent="0.2">
      <c r="A137" s="572" t="s">
        <v>919</v>
      </c>
      <c r="B137" s="110">
        <f t="shared" si="2"/>
        <v>6.57</v>
      </c>
      <c r="C137" s="575">
        <v>45954</v>
      </c>
      <c r="D137" s="569">
        <v>45958</v>
      </c>
      <c r="E137" s="569">
        <v>45958</v>
      </c>
      <c r="F137" t="s">
        <v>1176</v>
      </c>
      <c r="G137" t="s">
        <v>370</v>
      </c>
      <c r="H137" t="s">
        <v>367</v>
      </c>
      <c r="I137" t="s">
        <v>368</v>
      </c>
      <c r="J137" t="s">
        <v>696</v>
      </c>
      <c r="K137" t="s">
        <v>697</v>
      </c>
      <c r="L137" t="s">
        <v>698</v>
      </c>
      <c r="M137" t="s">
        <v>1177</v>
      </c>
      <c r="N137" t="s">
        <v>781</v>
      </c>
      <c r="O137" t="s">
        <v>1178</v>
      </c>
      <c r="P137" t="s">
        <v>1162</v>
      </c>
      <c r="Q137" t="s">
        <v>370</v>
      </c>
    </row>
    <row r="138" spans="1:17" ht="14.25" customHeight="1" x14ac:dyDescent="0.2">
      <c r="A138" s="572" t="s">
        <v>920</v>
      </c>
      <c r="B138" s="110">
        <f t="shared" si="2"/>
        <v>17.25</v>
      </c>
      <c r="C138" s="575">
        <v>45954</v>
      </c>
      <c r="D138" s="569">
        <v>45958</v>
      </c>
      <c r="E138" s="569">
        <v>45958</v>
      </c>
      <c r="F138" t="s">
        <v>874</v>
      </c>
      <c r="G138" t="s">
        <v>370</v>
      </c>
      <c r="H138" t="s">
        <v>367</v>
      </c>
      <c r="I138" t="s">
        <v>368</v>
      </c>
      <c r="J138" t="s">
        <v>1179</v>
      </c>
      <c r="K138" t="s">
        <v>1180</v>
      </c>
      <c r="L138" t="s">
        <v>1181</v>
      </c>
      <c r="M138" t="s">
        <v>1182</v>
      </c>
      <c r="N138" t="s">
        <v>747</v>
      </c>
      <c r="O138" t="s">
        <v>1183</v>
      </c>
      <c r="P138" t="s">
        <v>1162</v>
      </c>
      <c r="Q138" t="s">
        <v>370</v>
      </c>
    </row>
    <row r="139" spans="1:17" ht="14.25" customHeight="1" x14ac:dyDescent="0.2">
      <c r="A139" s="572" t="s">
        <v>919</v>
      </c>
      <c r="B139" s="110">
        <f t="shared" si="2"/>
        <v>6.5200000000000005</v>
      </c>
      <c r="C139" s="575">
        <v>45954</v>
      </c>
      <c r="D139" s="569">
        <v>45958</v>
      </c>
      <c r="E139" s="569">
        <v>45958</v>
      </c>
      <c r="F139" t="s">
        <v>1184</v>
      </c>
      <c r="G139" t="s">
        <v>370</v>
      </c>
      <c r="H139" t="s">
        <v>367</v>
      </c>
      <c r="I139" t="s">
        <v>368</v>
      </c>
      <c r="J139" t="s">
        <v>696</v>
      </c>
      <c r="K139" t="s">
        <v>744</v>
      </c>
      <c r="L139" t="s">
        <v>745</v>
      </c>
      <c r="M139" t="s">
        <v>1185</v>
      </c>
      <c r="N139" t="s">
        <v>747</v>
      </c>
      <c r="O139" t="s">
        <v>1186</v>
      </c>
      <c r="P139" t="s">
        <v>1162</v>
      </c>
      <c r="Q139" t="s">
        <v>370</v>
      </c>
    </row>
    <row r="140" spans="1:17" ht="14.25" customHeight="1" x14ac:dyDescent="0.2">
      <c r="A140" s="572" t="s">
        <v>920</v>
      </c>
      <c r="B140" s="110">
        <f t="shared" si="2"/>
        <v>8.4700000000000006</v>
      </c>
      <c r="C140" s="575">
        <v>45954</v>
      </c>
      <c r="D140" s="569">
        <v>45958</v>
      </c>
      <c r="E140" s="569">
        <v>45958</v>
      </c>
      <c r="F140" t="s">
        <v>1187</v>
      </c>
      <c r="G140" t="s">
        <v>370</v>
      </c>
      <c r="H140" t="s">
        <v>367</v>
      </c>
      <c r="I140" t="s">
        <v>368</v>
      </c>
      <c r="J140" t="s">
        <v>765</v>
      </c>
      <c r="K140" t="s">
        <v>932</v>
      </c>
      <c r="L140" t="s">
        <v>933</v>
      </c>
      <c r="M140" t="s">
        <v>1188</v>
      </c>
      <c r="N140" t="s">
        <v>747</v>
      </c>
      <c r="O140" t="s">
        <v>1189</v>
      </c>
      <c r="P140" t="s">
        <v>1162</v>
      </c>
      <c r="Q140" t="s">
        <v>370</v>
      </c>
    </row>
    <row r="141" spans="1:17" ht="14.25" customHeight="1" x14ac:dyDescent="0.2">
      <c r="A141" s="572" t="s">
        <v>919</v>
      </c>
      <c r="B141" s="110">
        <f t="shared" si="2"/>
        <v>6.57</v>
      </c>
      <c r="C141" s="575">
        <v>45954</v>
      </c>
      <c r="D141" s="569">
        <v>45958</v>
      </c>
      <c r="E141" s="569">
        <v>45958</v>
      </c>
      <c r="F141" t="s">
        <v>1190</v>
      </c>
      <c r="G141" t="s">
        <v>370</v>
      </c>
      <c r="H141" t="s">
        <v>367</v>
      </c>
      <c r="I141" t="s">
        <v>368</v>
      </c>
      <c r="J141" t="s">
        <v>696</v>
      </c>
      <c r="K141" t="s">
        <v>697</v>
      </c>
      <c r="L141" t="s">
        <v>698</v>
      </c>
      <c r="M141" s="574" t="s">
        <v>1191</v>
      </c>
      <c r="N141" t="s">
        <v>741</v>
      </c>
      <c r="O141" t="s">
        <v>1192</v>
      </c>
      <c r="P141" t="s">
        <v>1162</v>
      </c>
      <c r="Q141" t="s">
        <v>370</v>
      </c>
    </row>
    <row r="142" spans="1:17" ht="14.25" customHeight="1" x14ac:dyDescent="0.2">
      <c r="A142" s="572" t="s">
        <v>919</v>
      </c>
      <c r="B142" s="110">
        <f t="shared" si="2"/>
        <v>6.5200000000000005</v>
      </c>
      <c r="C142" s="575">
        <v>45954</v>
      </c>
      <c r="D142" s="569">
        <v>45958</v>
      </c>
      <c r="E142" s="569">
        <v>45958</v>
      </c>
      <c r="F142" t="s">
        <v>1193</v>
      </c>
      <c r="G142" t="s">
        <v>370</v>
      </c>
      <c r="H142" t="s">
        <v>367</v>
      </c>
      <c r="I142" t="s">
        <v>368</v>
      </c>
      <c r="J142" t="s">
        <v>696</v>
      </c>
      <c r="K142" t="s">
        <v>744</v>
      </c>
      <c r="L142" t="s">
        <v>745</v>
      </c>
      <c r="M142" t="s">
        <v>1194</v>
      </c>
      <c r="N142" t="s">
        <v>747</v>
      </c>
      <c r="O142" t="s">
        <v>1195</v>
      </c>
      <c r="P142" t="s">
        <v>1162</v>
      </c>
      <c r="Q142" t="s">
        <v>370</v>
      </c>
    </row>
    <row r="143" spans="1:17" ht="14.25" customHeight="1" x14ac:dyDescent="0.2">
      <c r="A143" s="572" t="s">
        <v>919</v>
      </c>
      <c r="B143" s="110">
        <f t="shared" si="2"/>
        <v>6.5200000000000005</v>
      </c>
      <c r="C143" s="575">
        <v>45954</v>
      </c>
      <c r="D143" s="569">
        <v>45958</v>
      </c>
      <c r="E143" s="569">
        <v>45958</v>
      </c>
      <c r="F143" t="s">
        <v>1196</v>
      </c>
      <c r="G143" t="s">
        <v>370</v>
      </c>
      <c r="H143" t="s">
        <v>367</v>
      </c>
      <c r="I143" t="s">
        <v>368</v>
      </c>
      <c r="J143" t="s">
        <v>696</v>
      </c>
      <c r="K143" t="s">
        <v>744</v>
      </c>
      <c r="L143" t="s">
        <v>745</v>
      </c>
      <c r="M143" t="s">
        <v>1197</v>
      </c>
      <c r="N143" t="s">
        <v>747</v>
      </c>
      <c r="O143" t="s">
        <v>1198</v>
      </c>
      <c r="P143" t="s">
        <v>1162</v>
      </c>
      <c r="Q143" t="s">
        <v>370</v>
      </c>
    </row>
    <row r="144" spans="1:17" ht="14.25" customHeight="1" x14ac:dyDescent="0.2">
      <c r="A144" s="572" t="s">
        <v>919</v>
      </c>
      <c r="B144" s="110">
        <f t="shared" si="2"/>
        <v>6.57</v>
      </c>
      <c r="C144" s="575">
        <v>45955</v>
      </c>
      <c r="D144" s="569">
        <v>45958</v>
      </c>
      <c r="E144" s="569">
        <v>45958</v>
      </c>
      <c r="F144" t="s">
        <v>1199</v>
      </c>
      <c r="G144" t="s">
        <v>1199</v>
      </c>
      <c r="H144" t="s">
        <v>367</v>
      </c>
      <c r="I144" t="s">
        <v>368</v>
      </c>
      <c r="J144" t="s">
        <v>696</v>
      </c>
      <c r="K144" t="s">
        <v>697</v>
      </c>
      <c r="L144" t="s">
        <v>698</v>
      </c>
      <c r="M144" t="s">
        <v>1200</v>
      </c>
      <c r="N144" t="s">
        <v>369</v>
      </c>
      <c r="O144" t="s">
        <v>1201</v>
      </c>
      <c r="P144" t="s">
        <v>1162</v>
      </c>
      <c r="Q144" t="s">
        <v>370</v>
      </c>
    </row>
    <row r="145" spans="1:17" ht="14.25" customHeight="1" x14ac:dyDescent="0.2">
      <c r="A145" s="572" t="s">
        <v>920</v>
      </c>
      <c r="B145" s="110">
        <f t="shared" si="2"/>
        <v>8.5299999999999994</v>
      </c>
      <c r="C145" s="575">
        <v>45955</v>
      </c>
      <c r="D145" s="569">
        <v>45958</v>
      </c>
      <c r="E145" s="569">
        <v>45958</v>
      </c>
      <c r="F145" t="s">
        <v>1202</v>
      </c>
      <c r="G145" t="s">
        <v>370</v>
      </c>
      <c r="H145" t="s">
        <v>367</v>
      </c>
      <c r="I145" t="s">
        <v>368</v>
      </c>
      <c r="J145" t="s">
        <v>765</v>
      </c>
      <c r="K145" t="s">
        <v>766</v>
      </c>
      <c r="L145" t="s">
        <v>767</v>
      </c>
      <c r="M145" t="s">
        <v>1203</v>
      </c>
      <c r="N145" t="s">
        <v>741</v>
      </c>
      <c r="O145" t="s">
        <v>1204</v>
      </c>
      <c r="P145" t="s">
        <v>1162</v>
      </c>
      <c r="Q145" t="s">
        <v>370</v>
      </c>
    </row>
    <row r="146" spans="1:17" ht="14.25" customHeight="1" x14ac:dyDescent="0.2">
      <c r="A146" s="572" t="s">
        <v>919</v>
      </c>
      <c r="B146" s="110">
        <f t="shared" si="2"/>
        <v>6.57</v>
      </c>
      <c r="C146" s="575">
        <v>45955</v>
      </c>
      <c r="D146" s="569">
        <v>45958</v>
      </c>
      <c r="E146" s="569">
        <v>45958</v>
      </c>
      <c r="F146" t="s">
        <v>1205</v>
      </c>
      <c r="G146" t="s">
        <v>1205</v>
      </c>
      <c r="H146" t="s">
        <v>367</v>
      </c>
      <c r="I146" t="s">
        <v>368</v>
      </c>
      <c r="J146" t="s">
        <v>696</v>
      </c>
      <c r="K146" t="s">
        <v>697</v>
      </c>
      <c r="L146" t="s">
        <v>698</v>
      </c>
      <c r="M146" t="s">
        <v>1206</v>
      </c>
      <c r="N146" t="s">
        <v>369</v>
      </c>
      <c r="O146" t="s">
        <v>1207</v>
      </c>
      <c r="P146" t="s">
        <v>1162</v>
      </c>
      <c r="Q146" t="s">
        <v>370</v>
      </c>
    </row>
    <row r="147" spans="1:17" ht="14.25" customHeight="1" x14ac:dyDescent="0.2">
      <c r="A147" s="572" t="s">
        <v>919</v>
      </c>
      <c r="B147" s="110">
        <f t="shared" si="2"/>
        <v>6.5200000000000005</v>
      </c>
      <c r="C147" s="575">
        <v>45955</v>
      </c>
      <c r="D147" s="569">
        <v>45958</v>
      </c>
      <c r="E147" s="569">
        <v>45958</v>
      </c>
      <c r="F147" t="s">
        <v>1208</v>
      </c>
      <c r="G147" t="s">
        <v>370</v>
      </c>
      <c r="H147" t="s">
        <v>367</v>
      </c>
      <c r="I147" t="s">
        <v>368</v>
      </c>
      <c r="J147" t="s">
        <v>696</v>
      </c>
      <c r="K147" t="s">
        <v>744</v>
      </c>
      <c r="L147" t="s">
        <v>745</v>
      </c>
      <c r="M147" t="s">
        <v>1209</v>
      </c>
      <c r="N147" t="s">
        <v>747</v>
      </c>
      <c r="O147" t="s">
        <v>1210</v>
      </c>
      <c r="P147" t="s">
        <v>1162</v>
      </c>
      <c r="Q147" t="s">
        <v>370</v>
      </c>
    </row>
    <row r="148" spans="1:17" ht="14.25" customHeight="1" x14ac:dyDescent="0.2">
      <c r="A148" s="572" t="s">
        <v>919</v>
      </c>
      <c r="B148" s="110">
        <f t="shared" si="2"/>
        <v>6.5200000000000005</v>
      </c>
      <c r="C148" s="575">
        <v>45955</v>
      </c>
      <c r="D148" s="569">
        <v>45958</v>
      </c>
      <c r="E148" s="569">
        <v>45958</v>
      </c>
      <c r="F148" t="s">
        <v>1211</v>
      </c>
      <c r="G148" t="s">
        <v>370</v>
      </c>
      <c r="H148" t="s">
        <v>367</v>
      </c>
      <c r="I148" t="s">
        <v>368</v>
      </c>
      <c r="J148" t="s">
        <v>696</v>
      </c>
      <c r="K148" t="s">
        <v>744</v>
      </c>
      <c r="L148" t="s">
        <v>745</v>
      </c>
      <c r="M148" t="s">
        <v>1212</v>
      </c>
      <c r="N148" t="s">
        <v>747</v>
      </c>
      <c r="O148" t="s">
        <v>1213</v>
      </c>
      <c r="P148" t="s">
        <v>1162</v>
      </c>
      <c r="Q148" t="s">
        <v>370</v>
      </c>
    </row>
    <row r="149" spans="1:17" ht="14.25" customHeight="1" x14ac:dyDescent="0.2">
      <c r="A149" s="572" t="s">
        <v>920</v>
      </c>
      <c r="B149" s="110">
        <f t="shared" si="2"/>
        <v>8.5299999999999994</v>
      </c>
      <c r="C149" s="575">
        <v>45955</v>
      </c>
      <c r="D149" s="569">
        <v>45958</v>
      </c>
      <c r="E149" s="569">
        <v>45958</v>
      </c>
      <c r="F149" t="s">
        <v>1214</v>
      </c>
      <c r="G149" t="s">
        <v>370</v>
      </c>
      <c r="H149" t="s">
        <v>367</v>
      </c>
      <c r="I149" t="s">
        <v>368</v>
      </c>
      <c r="J149" t="s">
        <v>765</v>
      </c>
      <c r="K149" t="s">
        <v>766</v>
      </c>
      <c r="L149" t="s">
        <v>767</v>
      </c>
      <c r="M149" t="s">
        <v>1215</v>
      </c>
      <c r="N149" t="s">
        <v>741</v>
      </c>
      <c r="O149" t="s">
        <v>1216</v>
      </c>
      <c r="P149" t="s">
        <v>1162</v>
      </c>
      <c r="Q149" t="s">
        <v>370</v>
      </c>
    </row>
    <row r="150" spans="1:17" ht="14.25" customHeight="1" x14ac:dyDescent="0.2">
      <c r="A150" s="572" t="s">
        <v>919</v>
      </c>
      <c r="B150" s="110">
        <f t="shared" si="2"/>
        <v>6.57</v>
      </c>
      <c r="C150" s="575">
        <v>45955</v>
      </c>
      <c r="D150" s="569">
        <v>45958</v>
      </c>
      <c r="E150" s="569">
        <v>45958</v>
      </c>
      <c r="F150" t="s">
        <v>1217</v>
      </c>
      <c r="G150" t="s">
        <v>370</v>
      </c>
      <c r="H150" t="s">
        <v>367</v>
      </c>
      <c r="I150" t="s">
        <v>368</v>
      </c>
      <c r="J150" t="s">
        <v>696</v>
      </c>
      <c r="K150" t="s">
        <v>697</v>
      </c>
      <c r="L150" t="s">
        <v>698</v>
      </c>
      <c r="M150" t="s">
        <v>1218</v>
      </c>
      <c r="N150" t="s">
        <v>741</v>
      </c>
      <c r="O150" t="s">
        <v>1219</v>
      </c>
      <c r="P150" t="s">
        <v>1162</v>
      </c>
      <c r="Q150" t="s">
        <v>370</v>
      </c>
    </row>
    <row r="151" spans="1:17" ht="14.25" customHeight="1" x14ac:dyDescent="0.2">
      <c r="A151" s="572" t="s">
        <v>919</v>
      </c>
      <c r="B151" s="110">
        <f t="shared" si="2"/>
        <v>6.5200000000000005</v>
      </c>
      <c r="C151" s="575">
        <v>45955</v>
      </c>
      <c r="D151" s="569">
        <v>45958</v>
      </c>
      <c r="E151" s="569">
        <v>45958</v>
      </c>
      <c r="F151" t="s">
        <v>1220</v>
      </c>
      <c r="G151" t="s">
        <v>370</v>
      </c>
      <c r="H151" t="s">
        <v>367</v>
      </c>
      <c r="I151" t="s">
        <v>368</v>
      </c>
      <c r="J151" t="s">
        <v>696</v>
      </c>
      <c r="K151" t="s">
        <v>744</v>
      </c>
      <c r="L151" t="s">
        <v>745</v>
      </c>
      <c r="M151" t="s">
        <v>1221</v>
      </c>
      <c r="N151" t="s">
        <v>747</v>
      </c>
      <c r="O151" t="s">
        <v>1222</v>
      </c>
      <c r="P151" t="s">
        <v>1162</v>
      </c>
      <c r="Q151" t="s">
        <v>370</v>
      </c>
    </row>
    <row r="152" spans="1:17" ht="14.25" customHeight="1" x14ac:dyDescent="0.2">
      <c r="A152" s="572" t="s">
        <v>920</v>
      </c>
      <c r="B152" s="110">
        <f t="shared" si="2"/>
        <v>8.5299999999999994</v>
      </c>
      <c r="C152" s="575">
        <v>45955</v>
      </c>
      <c r="D152" s="569">
        <v>45958</v>
      </c>
      <c r="E152" s="569">
        <v>45958</v>
      </c>
      <c r="F152" t="s">
        <v>1223</v>
      </c>
      <c r="G152" t="s">
        <v>370</v>
      </c>
      <c r="H152" t="s">
        <v>367</v>
      </c>
      <c r="I152" t="s">
        <v>368</v>
      </c>
      <c r="J152" t="s">
        <v>765</v>
      </c>
      <c r="K152" t="s">
        <v>766</v>
      </c>
      <c r="L152" t="s">
        <v>767</v>
      </c>
      <c r="M152" t="s">
        <v>1224</v>
      </c>
      <c r="N152" t="s">
        <v>741</v>
      </c>
      <c r="O152" t="s">
        <v>1225</v>
      </c>
      <c r="P152" t="s">
        <v>1162</v>
      </c>
      <c r="Q152" t="s">
        <v>370</v>
      </c>
    </row>
    <row r="153" spans="1:17" ht="14.25" customHeight="1" x14ac:dyDescent="0.2">
      <c r="A153" s="572" t="s">
        <v>919</v>
      </c>
      <c r="B153" s="110">
        <f t="shared" si="2"/>
        <v>6.57</v>
      </c>
      <c r="C153" s="575">
        <v>45955</v>
      </c>
      <c r="D153" s="569">
        <v>45958</v>
      </c>
      <c r="E153" s="569">
        <v>45958</v>
      </c>
      <c r="F153" t="s">
        <v>1226</v>
      </c>
      <c r="G153" t="s">
        <v>370</v>
      </c>
      <c r="H153" t="s">
        <v>367</v>
      </c>
      <c r="I153" t="s">
        <v>368</v>
      </c>
      <c r="J153" t="s">
        <v>696</v>
      </c>
      <c r="K153" t="s">
        <v>697</v>
      </c>
      <c r="L153" t="s">
        <v>698</v>
      </c>
      <c r="M153" t="s">
        <v>1227</v>
      </c>
      <c r="N153" t="s">
        <v>741</v>
      </c>
      <c r="O153" t="s">
        <v>1228</v>
      </c>
      <c r="P153" t="s">
        <v>1162</v>
      </c>
      <c r="Q153" t="s">
        <v>370</v>
      </c>
    </row>
    <row r="154" spans="1:17" ht="14.25" customHeight="1" x14ac:dyDescent="0.2">
      <c r="A154" s="572" t="s">
        <v>919</v>
      </c>
      <c r="B154" s="110">
        <f t="shared" si="2"/>
        <v>6.5200000000000005</v>
      </c>
      <c r="C154" s="575">
        <v>45955</v>
      </c>
      <c r="D154" s="569">
        <v>45958</v>
      </c>
      <c r="E154" s="569">
        <v>45958</v>
      </c>
      <c r="F154" t="s">
        <v>1229</v>
      </c>
      <c r="G154" t="s">
        <v>370</v>
      </c>
      <c r="H154" t="s">
        <v>367</v>
      </c>
      <c r="I154" t="s">
        <v>368</v>
      </c>
      <c r="J154" t="s">
        <v>696</v>
      </c>
      <c r="K154" t="s">
        <v>744</v>
      </c>
      <c r="L154" t="s">
        <v>745</v>
      </c>
      <c r="M154" t="s">
        <v>1230</v>
      </c>
      <c r="N154" t="s">
        <v>747</v>
      </c>
      <c r="O154" t="s">
        <v>1231</v>
      </c>
      <c r="P154" t="s">
        <v>1162</v>
      </c>
      <c r="Q154" t="s">
        <v>370</v>
      </c>
    </row>
    <row r="155" spans="1:17" ht="14.25" customHeight="1" x14ac:dyDescent="0.2">
      <c r="A155" s="572" t="s">
        <v>919</v>
      </c>
      <c r="B155" s="110">
        <f t="shared" si="2"/>
        <v>6.57</v>
      </c>
      <c r="C155" s="575">
        <v>45956</v>
      </c>
      <c r="D155" s="569">
        <v>45958</v>
      </c>
      <c r="E155" s="569">
        <v>45958</v>
      </c>
      <c r="F155" t="s">
        <v>1232</v>
      </c>
      <c r="G155" t="s">
        <v>370</v>
      </c>
      <c r="H155" t="s">
        <v>367</v>
      </c>
      <c r="I155" t="s">
        <v>368</v>
      </c>
      <c r="J155" t="s">
        <v>696</v>
      </c>
      <c r="K155" t="s">
        <v>697</v>
      </c>
      <c r="L155" t="s">
        <v>698</v>
      </c>
      <c r="M155" t="s">
        <v>1233</v>
      </c>
      <c r="N155" t="s">
        <v>741</v>
      </c>
      <c r="O155" t="s">
        <v>1234</v>
      </c>
      <c r="P155" t="s">
        <v>1162</v>
      </c>
      <c r="Q155" t="s">
        <v>370</v>
      </c>
    </row>
    <row r="156" spans="1:17" ht="14.25" customHeight="1" x14ac:dyDescent="0.2">
      <c r="A156" s="572" t="s">
        <v>919</v>
      </c>
      <c r="B156" s="110">
        <f t="shared" si="2"/>
        <v>6.57</v>
      </c>
      <c r="C156" s="575">
        <v>45956</v>
      </c>
      <c r="D156" s="569">
        <v>45958</v>
      </c>
      <c r="E156" s="569">
        <v>45958</v>
      </c>
      <c r="F156" t="s">
        <v>1235</v>
      </c>
      <c r="G156" t="s">
        <v>1236</v>
      </c>
      <c r="H156" t="s">
        <v>367</v>
      </c>
      <c r="I156" t="s">
        <v>368</v>
      </c>
      <c r="J156" t="s">
        <v>696</v>
      </c>
      <c r="K156" t="s">
        <v>697</v>
      </c>
      <c r="L156" t="s">
        <v>698</v>
      </c>
      <c r="M156" t="s">
        <v>1237</v>
      </c>
      <c r="N156" t="s">
        <v>369</v>
      </c>
      <c r="O156" t="s">
        <v>1238</v>
      </c>
      <c r="P156" t="s">
        <v>1162</v>
      </c>
      <c r="Q156" t="s">
        <v>370</v>
      </c>
    </row>
    <row r="157" spans="1:17" ht="14.25" customHeight="1" x14ac:dyDescent="0.2">
      <c r="A157" s="572" t="s">
        <v>919</v>
      </c>
      <c r="B157" s="110">
        <f t="shared" si="2"/>
        <v>6.57</v>
      </c>
      <c r="C157" s="575">
        <v>45956</v>
      </c>
      <c r="D157" s="569">
        <v>45958</v>
      </c>
      <c r="E157" s="569">
        <v>45958</v>
      </c>
      <c r="F157" t="s">
        <v>1239</v>
      </c>
      <c r="G157" t="s">
        <v>370</v>
      </c>
      <c r="H157" t="s">
        <v>367</v>
      </c>
      <c r="I157" t="s">
        <v>368</v>
      </c>
      <c r="J157" t="s">
        <v>696</v>
      </c>
      <c r="K157" t="s">
        <v>697</v>
      </c>
      <c r="L157" t="s">
        <v>698</v>
      </c>
      <c r="M157" t="s">
        <v>1240</v>
      </c>
      <c r="N157" t="s">
        <v>741</v>
      </c>
      <c r="O157" t="s">
        <v>1241</v>
      </c>
      <c r="P157" t="s">
        <v>1162</v>
      </c>
      <c r="Q157" t="s">
        <v>370</v>
      </c>
    </row>
    <row r="158" spans="1:17" ht="14.25" customHeight="1" x14ac:dyDescent="0.2">
      <c r="A158" s="572" t="s">
        <v>919</v>
      </c>
      <c r="B158" s="110">
        <f t="shared" si="2"/>
        <v>6.57</v>
      </c>
      <c r="C158" s="575">
        <v>45956</v>
      </c>
      <c r="D158" s="569">
        <v>45958</v>
      </c>
      <c r="E158" s="569">
        <v>45958</v>
      </c>
      <c r="F158" t="s">
        <v>1242</v>
      </c>
      <c r="G158" t="s">
        <v>1243</v>
      </c>
      <c r="H158" t="s">
        <v>367</v>
      </c>
      <c r="I158" t="s">
        <v>368</v>
      </c>
      <c r="J158" t="s">
        <v>696</v>
      </c>
      <c r="K158" t="s">
        <v>697</v>
      </c>
      <c r="L158" t="s">
        <v>698</v>
      </c>
      <c r="M158" t="s">
        <v>1244</v>
      </c>
      <c r="N158" t="s">
        <v>369</v>
      </c>
      <c r="O158" t="s">
        <v>1245</v>
      </c>
      <c r="P158" t="s">
        <v>1162</v>
      </c>
      <c r="Q158" t="s">
        <v>370</v>
      </c>
    </row>
    <row r="159" spans="1:17" ht="14.25" customHeight="1" x14ac:dyDescent="0.2">
      <c r="A159" s="572" t="s">
        <v>919</v>
      </c>
      <c r="B159" s="110">
        <f t="shared" si="2"/>
        <v>6.57</v>
      </c>
      <c r="C159" s="575">
        <v>45956</v>
      </c>
      <c r="D159" s="569">
        <v>45958</v>
      </c>
      <c r="E159" s="569">
        <v>45958</v>
      </c>
      <c r="F159" t="s">
        <v>1246</v>
      </c>
      <c r="G159" t="s">
        <v>1246</v>
      </c>
      <c r="H159" t="s">
        <v>367</v>
      </c>
      <c r="I159" t="s">
        <v>368</v>
      </c>
      <c r="J159" t="s">
        <v>696</v>
      </c>
      <c r="K159" t="s">
        <v>697</v>
      </c>
      <c r="L159" t="s">
        <v>698</v>
      </c>
      <c r="M159" t="s">
        <v>1247</v>
      </c>
      <c r="N159" t="s">
        <v>369</v>
      </c>
      <c r="O159" t="s">
        <v>1248</v>
      </c>
      <c r="P159" t="s">
        <v>1162</v>
      </c>
      <c r="Q159" t="s">
        <v>370</v>
      </c>
    </row>
    <row r="160" spans="1:17" ht="14.25" customHeight="1" x14ac:dyDescent="0.2">
      <c r="A160" s="572" t="s">
        <v>920</v>
      </c>
      <c r="B160" s="110">
        <f t="shared" si="2"/>
        <v>8.5299999999999994</v>
      </c>
      <c r="C160" s="575">
        <v>45956</v>
      </c>
      <c r="D160" s="569">
        <v>45958</v>
      </c>
      <c r="E160" s="569">
        <v>45958</v>
      </c>
      <c r="F160" t="s">
        <v>1249</v>
      </c>
      <c r="G160" t="s">
        <v>1250</v>
      </c>
      <c r="H160" t="s">
        <v>367</v>
      </c>
      <c r="I160" t="s">
        <v>368</v>
      </c>
      <c r="J160" t="s">
        <v>765</v>
      </c>
      <c r="K160" t="s">
        <v>766</v>
      </c>
      <c r="L160" t="s">
        <v>767</v>
      </c>
      <c r="M160" t="s">
        <v>1251</v>
      </c>
      <c r="N160" t="s">
        <v>369</v>
      </c>
      <c r="O160" t="s">
        <v>1252</v>
      </c>
      <c r="P160" t="s">
        <v>1162</v>
      </c>
      <c r="Q160" t="s">
        <v>370</v>
      </c>
    </row>
    <row r="161" spans="1:17" ht="14.25" customHeight="1" x14ac:dyDescent="0.2">
      <c r="A161" s="572" t="s">
        <v>919</v>
      </c>
      <c r="B161" s="110">
        <f t="shared" si="2"/>
        <v>6.5200000000000005</v>
      </c>
      <c r="C161" s="575">
        <v>45956</v>
      </c>
      <c r="D161" s="569">
        <v>45958</v>
      </c>
      <c r="E161" s="569">
        <v>45958</v>
      </c>
      <c r="F161" t="s">
        <v>1253</v>
      </c>
      <c r="G161" t="s">
        <v>370</v>
      </c>
      <c r="H161" t="s">
        <v>367</v>
      </c>
      <c r="I161" t="s">
        <v>368</v>
      </c>
      <c r="J161" t="s">
        <v>696</v>
      </c>
      <c r="K161" t="s">
        <v>744</v>
      </c>
      <c r="L161" t="s">
        <v>745</v>
      </c>
      <c r="M161" t="s">
        <v>1254</v>
      </c>
      <c r="N161" t="s">
        <v>747</v>
      </c>
      <c r="O161" t="s">
        <v>1255</v>
      </c>
      <c r="P161" t="s">
        <v>1162</v>
      </c>
      <c r="Q161" t="s">
        <v>370</v>
      </c>
    </row>
    <row r="162" spans="1:17" ht="14.25" customHeight="1" x14ac:dyDescent="0.2">
      <c r="A162" s="572" t="s">
        <v>919</v>
      </c>
      <c r="B162" s="110">
        <f t="shared" si="2"/>
        <v>6.57</v>
      </c>
      <c r="C162" s="575">
        <v>45956</v>
      </c>
      <c r="D162" s="569">
        <v>45958</v>
      </c>
      <c r="E162" s="569">
        <v>45958</v>
      </c>
      <c r="F162" t="s">
        <v>1256</v>
      </c>
      <c r="G162" t="s">
        <v>370</v>
      </c>
      <c r="H162" t="s">
        <v>367</v>
      </c>
      <c r="I162" t="s">
        <v>368</v>
      </c>
      <c r="J162" t="s">
        <v>696</v>
      </c>
      <c r="K162" t="s">
        <v>697</v>
      </c>
      <c r="L162" t="s">
        <v>698</v>
      </c>
      <c r="M162" t="s">
        <v>1257</v>
      </c>
      <c r="N162" t="s">
        <v>741</v>
      </c>
      <c r="O162" t="s">
        <v>1258</v>
      </c>
      <c r="P162" t="s">
        <v>1162</v>
      </c>
      <c r="Q162" t="s">
        <v>370</v>
      </c>
    </row>
    <row r="163" spans="1:17" ht="14.25" customHeight="1" x14ac:dyDescent="0.2">
      <c r="A163" s="572" t="s">
        <v>919</v>
      </c>
      <c r="B163" s="110">
        <f t="shared" si="2"/>
        <v>6.5200000000000005</v>
      </c>
      <c r="C163" s="575">
        <v>45956</v>
      </c>
      <c r="D163" s="569">
        <v>45958</v>
      </c>
      <c r="E163" s="569">
        <v>45958</v>
      </c>
      <c r="F163" t="s">
        <v>1259</v>
      </c>
      <c r="G163" t="s">
        <v>370</v>
      </c>
      <c r="H163" t="s">
        <v>367</v>
      </c>
      <c r="I163" t="s">
        <v>368</v>
      </c>
      <c r="J163" t="s">
        <v>696</v>
      </c>
      <c r="K163" t="s">
        <v>744</v>
      </c>
      <c r="L163" t="s">
        <v>745</v>
      </c>
      <c r="M163" t="s">
        <v>1260</v>
      </c>
      <c r="N163" t="s">
        <v>747</v>
      </c>
      <c r="O163" t="s">
        <v>1261</v>
      </c>
      <c r="P163" t="s">
        <v>1162</v>
      </c>
      <c r="Q163" t="s">
        <v>370</v>
      </c>
    </row>
    <row r="164" spans="1:17" ht="14.25" customHeight="1" x14ac:dyDescent="0.2">
      <c r="A164" s="572" t="s">
        <v>919</v>
      </c>
      <c r="B164" s="110">
        <f t="shared" si="2"/>
        <v>6.57</v>
      </c>
      <c r="C164" s="575">
        <v>45956</v>
      </c>
      <c r="D164" s="569">
        <v>45958</v>
      </c>
      <c r="E164" s="569">
        <v>45958</v>
      </c>
      <c r="F164" t="s">
        <v>1262</v>
      </c>
      <c r="G164" t="s">
        <v>1262</v>
      </c>
      <c r="H164" t="s">
        <v>367</v>
      </c>
      <c r="I164" t="s">
        <v>368</v>
      </c>
      <c r="J164" t="s">
        <v>696</v>
      </c>
      <c r="K164" t="s">
        <v>697</v>
      </c>
      <c r="L164" t="s">
        <v>698</v>
      </c>
      <c r="M164" t="s">
        <v>1263</v>
      </c>
      <c r="N164" t="s">
        <v>369</v>
      </c>
      <c r="O164" t="s">
        <v>1264</v>
      </c>
      <c r="P164" t="s">
        <v>1162</v>
      </c>
      <c r="Q164" t="s">
        <v>370</v>
      </c>
    </row>
    <row r="165" spans="1:17" ht="14.25" customHeight="1" x14ac:dyDescent="0.2">
      <c r="A165" s="572" t="s">
        <v>919</v>
      </c>
      <c r="B165" s="110">
        <f t="shared" si="2"/>
        <v>6.57</v>
      </c>
      <c r="C165" s="575">
        <v>45956</v>
      </c>
      <c r="D165" s="569">
        <v>45958</v>
      </c>
      <c r="E165" s="569">
        <v>45958</v>
      </c>
      <c r="F165" t="s">
        <v>1265</v>
      </c>
      <c r="G165" t="s">
        <v>370</v>
      </c>
      <c r="H165" t="s">
        <v>367</v>
      </c>
      <c r="I165" t="s">
        <v>368</v>
      </c>
      <c r="J165" t="s">
        <v>696</v>
      </c>
      <c r="K165" t="s">
        <v>697</v>
      </c>
      <c r="L165" t="s">
        <v>698</v>
      </c>
      <c r="M165" t="s">
        <v>1266</v>
      </c>
      <c r="N165" t="s">
        <v>741</v>
      </c>
      <c r="O165" t="s">
        <v>1267</v>
      </c>
      <c r="P165" t="s">
        <v>1162</v>
      </c>
      <c r="Q165" t="s">
        <v>370</v>
      </c>
    </row>
    <row r="166" spans="1:17" ht="14.25" customHeight="1" x14ac:dyDescent="0.2">
      <c r="A166" s="572" t="s">
        <v>919</v>
      </c>
      <c r="B166" s="110">
        <f t="shared" si="2"/>
        <v>6.57</v>
      </c>
      <c r="C166" s="575">
        <v>45956</v>
      </c>
      <c r="D166" s="569">
        <v>45958</v>
      </c>
      <c r="E166" s="569">
        <v>45958</v>
      </c>
      <c r="F166" t="s">
        <v>366</v>
      </c>
      <c r="G166" t="s">
        <v>370</v>
      </c>
      <c r="H166" t="s">
        <v>367</v>
      </c>
      <c r="I166" t="s">
        <v>368</v>
      </c>
      <c r="J166" t="s">
        <v>696</v>
      </c>
      <c r="K166" t="s">
        <v>697</v>
      </c>
      <c r="L166" t="s">
        <v>698</v>
      </c>
      <c r="M166" t="s">
        <v>1268</v>
      </c>
      <c r="N166" t="s">
        <v>741</v>
      </c>
      <c r="O166" t="s">
        <v>1269</v>
      </c>
      <c r="P166" t="s">
        <v>1162</v>
      </c>
      <c r="Q166" t="s">
        <v>370</v>
      </c>
    </row>
    <row r="167" spans="1:17" ht="14.25" customHeight="1" x14ac:dyDescent="0.2">
      <c r="A167" s="572" t="s">
        <v>919</v>
      </c>
      <c r="B167" s="110">
        <f t="shared" si="2"/>
        <v>6.57</v>
      </c>
      <c r="C167" s="575">
        <v>45956</v>
      </c>
      <c r="D167" s="569">
        <v>45958</v>
      </c>
      <c r="E167" s="569">
        <v>45958</v>
      </c>
      <c r="F167" t="s">
        <v>1270</v>
      </c>
      <c r="G167" t="s">
        <v>370</v>
      </c>
      <c r="H167" t="s">
        <v>367</v>
      </c>
      <c r="I167" t="s">
        <v>368</v>
      </c>
      <c r="J167" t="s">
        <v>696</v>
      </c>
      <c r="K167" t="s">
        <v>697</v>
      </c>
      <c r="L167" t="s">
        <v>698</v>
      </c>
      <c r="M167" t="s">
        <v>1271</v>
      </c>
      <c r="N167" t="s">
        <v>741</v>
      </c>
      <c r="O167" t="s">
        <v>1272</v>
      </c>
      <c r="P167" t="s">
        <v>1162</v>
      </c>
      <c r="Q167" t="s">
        <v>370</v>
      </c>
    </row>
    <row r="168" spans="1:17" ht="14.25" customHeight="1" x14ac:dyDescent="0.2">
      <c r="A168" s="572" t="s">
        <v>920</v>
      </c>
      <c r="B168" s="110">
        <f t="shared" si="2"/>
        <v>8.4700000000000006</v>
      </c>
      <c r="C168" s="575">
        <v>45956</v>
      </c>
      <c r="D168" s="569">
        <v>45958</v>
      </c>
      <c r="E168" s="569">
        <v>45958</v>
      </c>
      <c r="F168" t="s">
        <v>1273</v>
      </c>
      <c r="G168" t="s">
        <v>370</v>
      </c>
      <c r="H168" t="s">
        <v>367</v>
      </c>
      <c r="I168" t="s">
        <v>368</v>
      </c>
      <c r="J168" t="s">
        <v>765</v>
      </c>
      <c r="K168" t="s">
        <v>932</v>
      </c>
      <c r="L168" t="s">
        <v>933</v>
      </c>
      <c r="M168" t="s">
        <v>1274</v>
      </c>
      <c r="N168" t="s">
        <v>747</v>
      </c>
      <c r="O168" t="s">
        <v>1275</v>
      </c>
      <c r="P168" t="s">
        <v>1162</v>
      </c>
      <c r="Q168" t="s">
        <v>370</v>
      </c>
    </row>
    <row r="169" spans="1:17" ht="14.25" customHeight="1" x14ac:dyDescent="0.2">
      <c r="A169" s="572" t="s">
        <v>920</v>
      </c>
      <c r="B169" s="110">
        <f t="shared" si="2"/>
        <v>8.5299999999999994</v>
      </c>
      <c r="C169" s="575">
        <v>45956</v>
      </c>
      <c r="D169" s="569">
        <v>45958</v>
      </c>
      <c r="E169" s="569">
        <v>45958</v>
      </c>
      <c r="F169" t="s">
        <v>1276</v>
      </c>
      <c r="G169" t="s">
        <v>1277</v>
      </c>
      <c r="H169" t="s">
        <v>367</v>
      </c>
      <c r="I169" t="s">
        <v>368</v>
      </c>
      <c r="J169" t="s">
        <v>765</v>
      </c>
      <c r="K169" t="s">
        <v>766</v>
      </c>
      <c r="L169" t="s">
        <v>767</v>
      </c>
      <c r="M169" t="s">
        <v>1278</v>
      </c>
      <c r="N169" t="s">
        <v>369</v>
      </c>
      <c r="O169" t="s">
        <v>1279</v>
      </c>
      <c r="P169" t="s">
        <v>1162</v>
      </c>
      <c r="Q169" t="s">
        <v>370</v>
      </c>
    </row>
    <row r="170" spans="1:17" ht="14.25" customHeight="1" x14ac:dyDescent="0.2">
      <c r="A170" s="572" t="s">
        <v>919</v>
      </c>
      <c r="B170" s="110">
        <f t="shared" si="2"/>
        <v>6.5200000000000005</v>
      </c>
      <c r="C170" s="575">
        <v>45956</v>
      </c>
      <c r="D170" s="569">
        <v>45958</v>
      </c>
      <c r="E170" s="569">
        <v>45958</v>
      </c>
      <c r="F170" t="s">
        <v>1280</v>
      </c>
      <c r="G170" t="s">
        <v>370</v>
      </c>
      <c r="H170" t="s">
        <v>367</v>
      </c>
      <c r="I170" t="s">
        <v>368</v>
      </c>
      <c r="J170" t="s">
        <v>696</v>
      </c>
      <c r="K170" t="s">
        <v>744</v>
      </c>
      <c r="L170" t="s">
        <v>745</v>
      </c>
      <c r="M170" t="s">
        <v>1281</v>
      </c>
      <c r="N170" t="s">
        <v>747</v>
      </c>
      <c r="O170" s="574" t="s">
        <v>1282</v>
      </c>
      <c r="P170" t="s">
        <v>1162</v>
      </c>
      <c r="Q170" t="s">
        <v>370</v>
      </c>
    </row>
    <row r="171" spans="1:17" ht="14.25" customHeight="1" x14ac:dyDescent="0.2">
      <c r="A171" s="572" t="s">
        <v>920</v>
      </c>
      <c r="B171" s="110">
        <f t="shared" si="2"/>
        <v>8.5299999999999994</v>
      </c>
      <c r="C171" s="575">
        <v>45956</v>
      </c>
      <c r="D171" s="569">
        <v>45958</v>
      </c>
      <c r="E171" s="569">
        <v>45958</v>
      </c>
      <c r="F171" t="s">
        <v>1283</v>
      </c>
      <c r="G171" t="s">
        <v>1283</v>
      </c>
      <c r="H171" t="s">
        <v>367</v>
      </c>
      <c r="I171" t="s">
        <v>368</v>
      </c>
      <c r="J171" t="s">
        <v>765</v>
      </c>
      <c r="K171" t="s">
        <v>766</v>
      </c>
      <c r="L171" t="s">
        <v>767</v>
      </c>
      <c r="M171" t="s">
        <v>1284</v>
      </c>
      <c r="N171" t="s">
        <v>369</v>
      </c>
      <c r="O171" s="574" t="s">
        <v>1285</v>
      </c>
      <c r="P171" t="s">
        <v>1162</v>
      </c>
      <c r="Q171" t="s">
        <v>370</v>
      </c>
    </row>
    <row r="172" spans="1:17" ht="14.25" customHeight="1" x14ac:dyDescent="0.2">
      <c r="A172" s="572" t="s">
        <v>919</v>
      </c>
      <c r="B172" s="110">
        <f t="shared" si="2"/>
        <v>6.5200000000000005</v>
      </c>
      <c r="C172" s="575">
        <v>45956</v>
      </c>
      <c r="D172" s="569">
        <v>45958</v>
      </c>
      <c r="E172" s="569">
        <v>45958</v>
      </c>
      <c r="F172" t="s">
        <v>1286</v>
      </c>
      <c r="G172" t="s">
        <v>370</v>
      </c>
      <c r="H172" t="s">
        <v>367</v>
      </c>
      <c r="I172" t="s">
        <v>368</v>
      </c>
      <c r="J172" t="s">
        <v>696</v>
      </c>
      <c r="K172" t="s">
        <v>744</v>
      </c>
      <c r="L172" t="s">
        <v>745</v>
      </c>
      <c r="M172" t="s">
        <v>1287</v>
      </c>
      <c r="N172" t="s">
        <v>747</v>
      </c>
      <c r="O172" t="s">
        <v>1288</v>
      </c>
      <c r="P172" t="s">
        <v>1162</v>
      </c>
      <c r="Q172" t="s">
        <v>370</v>
      </c>
    </row>
    <row r="173" spans="1:17" ht="14.25" customHeight="1" x14ac:dyDescent="0.2">
      <c r="A173" s="572" t="s">
        <v>920</v>
      </c>
      <c r="B173" s="110">
        <f t="shared" si="2"/>
        <v>8.5299999999999994</v>
      </c>
      <c r="C173" s="575">
        <v>45956</v>
      </c>
      <c r="D173" s="569">
        <v>45958</v>
      </c>
      <c r="E173" s="569">
        <v>45958</v>
      </c>
      <c r="F173" t="s">
        <v>1289</v>
      </c>
      <c r="G173" t="s">
        <v>370</v>
      </c>
      <c r="H173" t="s">
        <v>367</v>
      </c>
      <c r="I173" t="s">
        <v>368</v>
      </c>
      <c r="J173" t="s">
        <v>765</v>
      </c>
      <c r="K173" t="s">
        <v>766</v>
      </c>
      <c r="L173" t="s">
        <v>767</v>
      </c>
      <c r="M173" t="s">
        <v>1290</v>
      </c>
      <c r="N173" t="s">
        <v>741</v>
      </c>
      <c r="O173" t="s">
        <v>1291</v>
      </c>
      <c r="P173" t="s">
        <v>1162</v>
      </c>
      <c r="Q173" t="s">
        <v>370</v>
      </c>
    </row>
    <row r="174" spans="1:17" ht="14.25" customHeight="1" x14ac:dyDescent="0.2">
      <c r="A174" s="572" t="s">
        <v>920</v>
      </c>
      <c r="B174" s="110">
        <f t="shared" si="2"/>
        <v>8.5299999999999994</v>
      </c>
      <c r="C174" s="575">
        <v>45956</v>
      </c>
      <c r="D174" s="569">
        <v>45958</v>
      </c>
      <c r="E174" s="569">
        <v>45958</v>
      </c>
      <c r="F174" t="s">
        <v>1292</v>
      </c>
      <c r="G174" t="s">
        <v>370</v>
      </c>
      <c r="H174" t="s">
        <v>367</v>
      </c>
      <c r="I174" t="s">
        <v>368</v>
      </c>
      <c r="J174" t="s">
        <v>765</v>
      </c>
      <c r="K174" t="s">
        <v>766</v>
      </c>
      <c r="L174" t="s">
        <v>767</v>
      </c>
      <c r="M174" t="s">
        <v>1293</v>
      </c>
      <c r="N174" t="s">
        <v>741</v>
      </c>
      <c r="O174" t="s">
        <v>1294</v>
      </c>
      <c r="P174" t="s">
        <v>1162</v>
      </c>
      <c r="Q174" t="s">
        <v>370</v>
      </c>
    </row>
    <row r="175" spans="1:17" ht="14.25" customHeight="1" x14ac:dyDescent="0.2">
      <c r="A175" s="572" t="s">
        <v>920</v>
      </c>
      <c r="B175" s="110">
        <f t="shared" si="2"/>
        <v>8.5299999999999994</v>
      </c>
      <c r="C175" s="575">
        <v>45956</v>
      </c>
      <c r="D175" s="569">
        <v>45958</v>
      </c>
      <c r="E175" s="569">
        <v>45958</v>
      </c>
      <c r="F175" t="s">
        <v>1295</v>
      </c>
      <c r="G175" t="s">
        <v>370</v>
      </c>
      <c r="H175" t="s">
        <v>367</v>
      </c>
      <c r="I175" t="s">
        <v>368</v>
      </c>
      <c r="J175" t="s">
        <v>765</v>
      </c>
      <c r="K175" t="s">
        <v>766</v>
      </c>
      <c r="L175" t="s">
        <v>767</v>
      </c>
      <c r="M175" t="s">
        <v>1296</v>
      </c>
      <c r="N175" t="s">
        <v>741</v>
      </c>
      <c r="O175" t="s">
        <v>1297</v>
      </c>
      <c r="P175" t="s">
        <v>1162</v>
      </c>
      <c r="Q175" t="s">
        <v>370</v>
      </c>
    </row>
    <row r="176" spans="1:17" ht="14.25" customHeight="1" x14ac:dyDescent="0.2">
      <c r="A176" s="572" t="s">
        <v>919</v>
      </c>
      <c r="B176" s="110">
        <f t="shared" si="2"/>
        <v>15.3</v>
      </c>
      <c r="C176" s="575">
        <v>45956</v>
      </c>
      <c r="D176" s="569">
        <v>45958</v>
      </c>
      <c r="E176" s="569">
        <v>45958</v>
      </c>
      <c r="F176" t="s">
        <v>1298</v>
      </c>
      <c r="G176" t="s">
        <v>370</v>
      </c>
      <c r="H176" t="s">
        <v>367</v>
      </c>
      <c r="I176" t="s">
        <v>368</v>
      </c>
      <c r="J176" t="s">
        <v>759</v>
      </c>
      <c r="K176" t="s">
        <v>787</v>
      </c>
      <c r="L176" t="s">
        <v>788</v>
      </c>
      <c r="M176" t="s">
        <v>1299</v>
      </c>
      <c r="N176" t="s">
        <v>747</v>
      </c>
      <c r="O176" t="s">
        <v>1300</v>
      </c>
      <c r="P176" t="s">
        <v>1162</v>
      </c>
      <c r="Q176" t="s">
        <v>370</v>
      </c>
    </row>
    <row r="177" spans="1:17" ht="14.25" customHeight="1" x14ac:dyDescent="0.2">
      <c r="A177" s="572" t="s">
        <v>919</v>
      </c>
      <c r="B177" s="110">
        <f t="shared" si="2"/>
        <v>6.57</v>
      </c>
      <c r="C177" s="575">
        <v>45956</v>
      </c>
      <c r="D177" s="569">
        <v>45958</v>
      </c>
      <c r="E177" s="569">
        <v>45958</v>
      </c>
      <c r="F177" t="s">
        <v>1301</v>
      </c>
      <c r="G177" t="s">
        <v>370</v>
      </c>
      <c r="H177" t="s">
        <v>367</v>
      </c>
      <c r="I177" t="s">
        <v>368</v>
      </c>
      <c r="J177" t="s">
        <v>696</v>
      </c>
      <c r="K177" t="s">
        <v>697</v>
      </c>
      <c r="L177" t="s">
        <v>698</v>
      </c>
      <c r="M177" t="s">
        <v>1302</v>
      </c>
      <c r="N177" t="s">
        <v>741</v>
      </c>
      <c r="O177" t="s">
        <v>1303</v>
      </c>
      <c r="P177" t="s">
        <v>1162</v>
      </c>
      <c r="Q177" t="s">
        <v>370</v>
      </c>
    </row>
    <row r="178" spans="1:17" ht="14.25" customHeight="1" x14ac:dyDescent="0.2">
      <c r="A178" s="572" t="s">
        <v>919</v>
      </c>
      <c r="B178" s="110">
        <f t="shared" si="2"/>
        <v>6.57</v>
      </c>
      <c r="C178" s="575">
        <v>45957</v>
      </c>
      <c r="D178" s="569">
        <v>45959</v>
      </c>
      <c r="E178" s="569">
        <v>45959</v>
      </c>
      <c r="F178" t="s">
        <v>1304</v>
      </c>
      <c r="G178" t="s">
        <v>370</v>
      </c>
      <c r="H178" t="s">
        <v>367</v>
      </c>
      <c r="I178" t="s">
        <v>368</v>
      </c>
      <c r="J178" t="s">
        <v>696</v>
      </c>
      <c r="K178" t="s">
        <v>697</v>
      </c>
      <c r="L178" t="s">
        <v>698</v>
      </c>
      <c r="M178" t="s">
        <v>1305</v>
      </c>
      <c r="N178" t="s">
        <v>781</v>
      </c>
      <c r="O178" t="s">
        <v>1306</v>
      </c>
      <c r="P178" t="s">
        <v>1307</v>
      </c>
      <c r="Q178" t="s">
        <v>370</v>
      </c>
    </row>
    <row r="179" spans="1:17" ht="14.25" customHeight="1" x14ac:dyDescent="0.2">
      <c r="A179" s="572" t="s">
        <v>920</v>
      </c>
      <c r="B179" s="110">
        <f t="shared" si="2"/>
        <v>8.5299999999999994</v>
      </c>
      <c r="C179" s="575">
        <v>45957</v>
      </c>
      <c r="D179" s="569">
        <v>45959</v>
      </c>
      <c r="E179" s="569">
        <v>45959</v>
      </c>
      <c r="F179" t="s">
        <v>1308</v>
      </c>
      <c r="G179" t="s">
        <v>370</v>
      </c>
      <c r="H179" t="s">
        <v>367</v>
      </c>
      <c r="I179" t="s">
        <v>368</v>
      </c>
      <c r="J179" t="s">
        <v>765</v>
      </c>
      <c r="K179" t="s">
        <v>766</v>
      </c>
      <c r="L179" t="s">
        <v>767</v>
      </c>
      <c r="M179" t="s">
        <v>1309</v>
      </c>
      <c r="N179" t="s">
        <v>741</v>
      </c>
      <c r="O179" s="574" t="s">
        <v>1310</v>
      </c>
      <c r="P179" t="s">
        <v>1307</v>
      </c>
      <c r="Q179" t="s">
        <v>370</v>
      </c>
    </row>
    <row r="180" spans="1:17" ht="14.25" customHeight="1" x14ac:dyDescent="0.2">
      <c r="A180" s="572" t="s">
        <v>919</v>
      </c>
      <c r="B180" s="110">
        <f t="shared" si="2"/>
        <v>6.57</v>
      </c>
      <c r="C180" s="575">
        <v>45957</v>
      </c>
      <c r="D180" s="569">
        <v>45959</v>
      </c>
      <c r="E180" s="569">
        <v>45959</v>
      </c>
      <c r="F180" t="s">
        <v>1311</v>
      </c>
      <c r="G180" t="s">
        <v>1311</v>
      </c>
      <c r="H180" t="s">
        <v>367</v>
      </c>
      <c r="I180" t="s">
        <v>368</v>
      </c>
      <c r="J180" t="s">
        <v>696</v>
      </c>
      <c r="K180" t="s">
        <v>697</v>
      </c>
      <c r="L180" t="s">
        <v>698</v>
      </c>
      <c r="M180" t="s">
        <v>1312</v>
      </c>
      <c r="N180" t="s">
        <v>369</v>
      </c>
      <c r="O180" t="s">
        <v>1313</v>
      </c>
      <c r="P180" t="s">
        <v>1307</v>
      </c>
      <c r="Q180" t="s">
        <v>370</v>
      </c>
    </row>
    <row r="181" spans="1:17" ht="14.25" customHeight="1" x14ac:dyDescent="0.2">
      <c r="A181" s="572" t="s">
        <v>920</v>
      </c>
      <c r="B181" s="110">
        <f t="shared" si="2"/>
        <v>8.5299999999999994</v>
      </c>
      <c r="C181" s="575">
        <v>45957</v>
      </c>
      <c r="D181" s="569">
        <v>45959</v>
      </c>
      <c r="E181" s="569">
        <v>45959</v>
      </c>
      <c r="F181" t="s">
        <v>1314</v>
      </c>
      <c r="G181" t="s">
        <v>370</v>
      </c>
      <c r="H181" t="s">
        <v>367</v>
      </c>
      <c r="I181" t="s">
        <v>368</v>
      </c>
      <c r="J181" t="s">
        <v>765</v>
      </c>
      <c r="K181" t="s">
        <v>766</v>
      </c>
      <c r="L181" t="s">
        <v>767</v>
      </c>
      <c r="M181" t="s">
        <v>1315</v>
      </c>
      <c r="N181" t="s">
        <v>741</v>
      </c>
      <c r="O181" t="s">
        <v>1316</v>
      </c>
      <c r="P181" t="s">
        <v>1307</v>
      </c>
      <c r="Q181" t="s">
        <v>370</v>
      </c>
    </row>
    <row r="182" spans="1:17" ht="14.25" customHeight="1" x14ac:dyDescent="0.2">
      <c r="A182" s="572" t="s">
        <v>919</v>
      </c>
      <c r="B182" s="110">
        <f t="shared" si="2"/>
        <v>6.57</v>
      </c>
      <c r="C182" s="575">
        <v>45957</v>
      </c>
      <c r="D182" s="569">
        <v>45959</v>
      </c>
      <c r="E182" s="569">
        <v>45959</v>
      </c>
      <c r="F182" t="s">
        <v>1317</v>
      </c>
      <c r="G182" t="s">
        <v>370</v>
      </c>
      <c r="H182" t="s">
        <v>367</v>
      </c>
      <c r="I182" t="s">
        <v>368</v>
      </c>
      <c r="J182" t="s">
        <v>696</v>
      </c>
      <c r="K182" t="s">
        <v>697</v>
      </c>
      <c r="L182" t="s">
        <v>698</v>
      </c>
      <c r="M182" t="s">
        <v>1318</v>
      </c>
      <c r="N182" t="s">
        <v>741</v>
      </c>
      <c r="O182" t="s">
        <v>1319</v>
      </c>
      <c r="P182" t="s">
        <v>1307</v>
      </c>
      <c r="Q182" t="s">
        <v>370</v>
      </c>
    </row>
    <row r="183" spans="1:17" ht="14.25" customHeight="1" x14ac:dyDescent="0.2">
      <c r="A183" s="572" t="s">
        <v>919</v>
      </c>
      <c r="B183" s="110">
        <f t="shared" si="2"/>
        <v>6.57</v>
      </c>
      <c r="C183" s="575">
        <v>45957</v>
      </c>
      <c r="D183" s="569">
        <v>45959</v>
      </c>
      <c r="E183" s="569">
        <v>45959</v>
      </c>
      <c r="F183" t="s">
        <v>1320</v>
      </c>
      <c r="G183" t="s">
        <v>370</v>
      </c>
      <c r="H183" t="s">
        <v>367</v>
      </c>
      <c r="I183" t="s">
        <v>368</v>
      </c>
      <c r="J183" t="s">
        <v>696</v>
      </c>
      <c r="K183" t="s">
        <v>697</v>
      </c>
      <c r="L183" t="s">
        <v>698</v>
      </c>
      <c r="M183" t="s">
        <v>1321</v>
      </c>
      <c r="N183" t="s">
        <v>741</v>
      </c>
      <c r="O183" t="s">
        <v>1322</v>
      </c>
      <c r="P183" t="s">
        <v>1307</v>
      </c>
      <c r="Q183" t="s">
        <v>370</v>
      </c>
    </row>
    <row r="184" spans="1:17" ht="14.25" customHeight="1" x14ac:dyDescent="0.2">
      <c r="A184" s="572" t="s">
        <v>919</v>
      </c>
      <c r="B184" s="110">
        <f t="shared" si="2"/>
        <v>6.57</v>
      </c>
      <c r="C184" s="575">
        <v>45957</v>
      </c>
      <c r="D184" s="569">
        <v>45959</v>
      </c>
      <c r="E184" s="569">
        <v>45959</v>
      </c>
      <c r="F184" t="s">
        <v>1323</v>
      </c>
      <c r="G184" t="s">
        <v>370</v>
      </c>
      <c r="H184" t="s">
        <v>367</v>
      </c>
      <c r="I184" t="s">
        <v>368</v>
      </c>
      <c r="J184" t="s">
        <v>696</v>
      </c>
      <c r="K184" t="s">
        <v>697</v>
      </c>
      <c r="L184" t="s">
        <v>698</v>
      </c>
      <c r="M184" t="s">
        <v>1324</v>
      </c>
      <c r="N184" t="s">
        <v>781</v>
      </c>
      <c r="O184" t="s">
        <v>1325</v>
      </c>
      <c r="P184" t="s">
        <v>1307</v>
      </c>
      <c r="Q184" t="s">
        <v>370</v>
      </c>
    </row>
    <row r="185" spans="1:17" ht="14.25" customHeight="1" x14ac:dyDescent="0.2">
      <c r="A185" s="572" t="s">
        <v>919</v>
      </c>
      <c r="B185" s="110">
        <f t="shared" si="2"/>
        <v>6.57</v>
      </c>
      <c r="C185" s="575">
        <v>45957</v>
      </c>
      <c r="D185" s="569">
        <v>45959</v>
      </c>
      <c r="E185" s="569">
        <v>45959</v>
      </c>
      <c r="F185" t="s">
        <v>1326</v>
      </c>
      <c r="G185" t="s">
        <v>1326</v>
      </c>
      <c r="H185" t="s">
        <v>367</v>
      </c>
      <c r="I185" t="s">
        <v>368</v>
      </c>
      <c r="J185" t="s">
        <v>696</v>
      </c>
      <c r="K185" t="s">
        <v>697</v>
      </c>
      <c r="L185" t="s">
        <v>698</v>
      </c>
      <c r="M185" t="s">
        <v>1327</v>
      </c>
      <c r="N185" t="s">
        <v>369</v>
      </c>
      <c r="O185" t="s">
        <v>1328</v>
      </c>
      <c r="P185" t="s">
        <v>1307</v>
      </c>
      <c r="Q185" t="s">
        <v>370</v>
      </c>
    </row>
    <row r="186" spans="1:17" ht="14.25" customHeight="1" x14ac:dyDescent="0.2">
      <c r="A186" s="572" t="s">
        <v>919</v>
      </c>
      <c r="B186" s="110">
        <f t="shared" si="2"/>
        <v>6.5200000000000005</v>
      </c>
      <c r="C186" s="575">
        <v>45957</v>
      </c>
      <c r="D186" s="569">
        <v>45959</v>
      </c>
      <c r="E186" s="569">
        <v>45959</v>
      </c>
      <c r="F186" t="s">
        <v>1329</v>
      </c>
      <c r="G186" t="s">
        <v>370</v>
      </c>
      <c r="H186" t="s">
        <v>367</v>
      </c>
      <c r="I186" t="s">
        <v>368</v>
      </c>
      <c r="J186" t="s">
        <v>696</v>
      </c>
      <c r="K186" t="s">
        <v>744</v>
      </c>
      <c r="L186" t="s">
        <v>745</v>
      </c>
      <c r="M186" t="s">
        <v>1330</v>
      </c>
      <c r="N186" t="s">
        <v>747</v>
      </c>
      <c r="O186" t="s">
        <v>1331</v>
      </c>
      <c r="P186" t="s">
        <v>1307</v>
      </c>
      <c r="Q186" t="s">
        <v>370</v>
      </c>
    </row>
    <row r="187" spans="1:17" ht="14.25" customHeight="1" x14ac:dyDescent="0.2">
      <c r="A187" s="572" t="s">
        <v>919</v>
      </c>
      <c r="B187" s="110">
        <f t="shared" si="2"/>
        <v>6.57</v>
      </c>
      <c r="C187" s="575">
        <v>45957</v>
      </c>
      <c r="D187" s="569">
        <v>45959</v>
      </c>
      <c r="E187" s="569">
        <v>45959</v>
      </c>
      <c r="F187" t="s">
        <v>1332</v>
      </c>
      <c r="G187" t="s">
        <v>1332</v>
      </c>
      <c r="H187" t="s">
        <v>367</v>
      </c>
      <c r="I187" t="s">
        <v>368</v>
      </c>
      <c r="J187" t="s">
        <v>696</v>
      </c>
      <c r="K187" t="s">
        <v>697</v>
      </c>
      <c r="L187" t="s">
        <v>698</v>
      </c>
      <c r="M187" t="s">
        <v>1333</v>
      </c>
      <c r="N187" t="s">
        <v>369</v>
      </c>
      <c r="O187" t="s">
        <v>1334</v>
      </c>
      <c r="P187" t="s">
        <v>1307</v>
      </c>
      <c r="Q187" t="s">
        <v>370</v>
      </c>
    </row>
    <row r="188" spans="1:17" ht="14.25" customHeight="1" x14ac:dyDescent="0.2">
      <c r="A188" s="572" t="s">
        <v>919</v>
      </c>
      <c r="B188" s="110">
        <f t="shared" si="2"/>
        <v>6.57</v>
      </c>
      <c r="C188" s="575">
        <v>45957</v>
      </c>
      <c r="D188" s="569">
        <v>45959</v>
      </c>
      <c r="E188" s="569">
        <v>45959</v>
      </c>
      <c r="F188" t="s">
        <v>1335</v>
      </c>
      <c r="G188" t="s">
        <v>1336</v>
      </c>
      <c r="H188" t="s">
        <v>367</v>
      </c>
      <c r="I188" t="s">
        <v>368</v>
      </c>
      <c r="J188" t="s">
        <v>696</v>
      </c>
      <c r="K188" t="s">
        <v>697</v>
      </c>
      <c r="L188" t="s">
        <v>698</v>
      </c>
      <c r="M188" t="s">
        <v>1337</v>
      </c>
      <c r="N188" t="s">
        <v>369</v>
      </c>
      <c r="O188" t="s">
        <v>1338</v>
      </c>
      <c r="P188" t="s">
        <v>1307</v>
      </c>
      <c r="Q188" t="s">
        <v>370</v>
      </c>
    </row>
    <row r="189" spans="1:17" ht="14.25" customHeight="1" x14ac:dyDescent="0.2">
      <c r="A189" s="572" t="s">
        <v>919</v>
      </c>
      <c r="B189" s="110">
        <f t="shared" si="2"/>
        <v>6.5200000000000005</v>
      </c>
      <c r="C189" s="575">
        <v>45957</v>
      </c>
      <c r="D189" s="569">
        <v>45959</v>
      </c>
      <c r="E189" s="569">
        <v>45959</v>
      </c>
      <c r="F189" t="s">
        <v>1339</v>
      </c>
      <c r="G189" t="s">
        <v>370</v>
      </c>
      <c r="H189" t="s">
        <v>367</v>
      </c>
      <c r="I189" t="s">
        <v>368</v>
      </c>
      <c r="J189" t="s">
        <v>696</v>
      </c>
      <c r="K189" t="s">
        <v>744</v>
      </c>
      <c r="L189" t="s">
        <v>745</v>
      </c>
      <c r="M189" t="s">
        <v>1340</v>
      </c>
      <c r="N189" t="s">
        <v>747</v>
      </c>
      <c r="O189" t="s">
        <v>1341</v>
      </c>
      <c r="P189" t="s">
        <v>1307</v>
      </c>
      <c r="Q189" t="s">
        <v>370</v>
      </c>
    </row>
    <row r="190" spans="1:17" ht="14.25" customHeight="1" x14ac:dyDescent="0.2">
      <c r="A190" s="572" t="s">
        <v>919</v>
      </c>
      <c r="B190" s="110">
        <f t="shared" si="2"/>
        <v>6.57</v>
      </c>
      <c r="C190" s="575">
        <v>45957</v>
      </c>
      <c r="D190" s="569">
        <v>45959</v>
      </c>
      <c r="E190" s="569">
        <v>45959</v>
      </c>
      <c r="F190" t="s">
        <v>1342</v>
      </c>
      <c r="G190" t="s">
        <v>370</v>
      </c>
      <c r="H190" t="s">
        <v>367</v>
      </c>
      <c r="I190" t="s">
        <v>368</v>
      </c>
      <c r="J190" t="s">
        <v>696</v>
      </c>
      <c r="K190" t="s">
        <v>697</v>
      </c>
      <c r="L190" t="s">
        <v>698</v>
      </c>
      <c r="M190" t="s">
        <v>1343</v>
      </c>
      <c r="N190" t="s">
        <v>741</v>
      </c>
      <c r="O190" t="s">
        <v>1344</v>
      </c>
      <c r="P190" t="s">
        <v>1307</v>
      </c>
      <c r="Q190" t="s">
        <v>370</v>
      </c>
    </row>
    <row r="191" spans="1:17" ht="14.25" customHeight="1" x14ac:dyDescent="0.2">
      <c r="A191" s="572" t="s">
        <v>919</v>
      </c>
      <c r="B191" s="110">
        <f t="shared" si="2"/>
        <v>6.57</v>
      </c>
      <c r="C191" s="575">
        <v>45957</v>
      </c>
      <c r="D191" s="569">
        <v>45959</v>
      </c>
      <c r="E191" s="569">
        <v>45959</v>
      </c>
      <c r="F191" t="s">
        <v>1345</v>
      </c>
      <c r="G191" t="s">
        <v>370</v>
      </c>
      <c r="H191" t="s">
        <v>367</v>
      </c>
      <c r="I191" t="s">
        <v>368</v>
      </c>
      <c r="J191" t="s">
        <v>696</v>
      </c>
      <c r="K191" t="s">
        <v>697</v>
      </c>
      <c r="L191" t="s">
        <v>698</v>
      </c>
      <c r="M191" t="s">
        <v>1346</v>
      </c>
      <c r="N191" t="s">
        <v>741</v>
      </c>
      <c r="O191" s="574" t="s">
        <v>1347</v>
      </c>
      <c r="P191" t="s">
        <v>1307</v>
      </c>
      <c r="Q191" t="s">
        <v>370</v>
      </c>
    </row>
    <row r="192" spans="1:17" ht="14.25" customHeight="1" x14ac:dyDescent="0.2">
      <c r="A192" s="572" t="s">
        <v>919</v>
      </c>
      <c r="B192" s="110">
        <f t="shared" si="2"/>
        <v>15.3</v>
      </c>
      <c r="C192" s="575">
        <v>45957</v>
      </c>
      <c r="D192" s="569">
        <v>45959</v>
      </c>
      <c r="E192" s="569">
        <v>45959</v>
      </c>
      <c r="F192" t="s">
        <v>1348</v>
      </c>
      <c r="G192" t="s">
        <v>370</v>
      </c>
      <c r="H192" t="s">
        <v>367</v>
      </c>
      <c r="I192" t="s">
        <v>368</v>
      </c>
      <c r="J192" t="s">
        <v>759</v>
      </c>
      <c r="K192" t="s">
        <v>787</v>
      </c>
      <c r="L192" t="s">
        <v>788</v>
      </c>
      <c r="M192" t="s">
        <v>1349</v>
      </c>
      <c r="N192" t="s">
        <v>747</v>
      </c>
      <c r="O192" t="s">
        <v>1350</v>
      </c>
      <c r="P192" t="s">
        <v>1307</v>
      </c>
      <c r="Q192" t="s">
        <v>370</v>
      </c>
    </row>
    <row r="193" spans="1:17" ht="14.25" customHeight="1" x14ac:dyDescent="0.2">
      <c r="A193" s="572" t="s">
        <v>919</v>
      </c>
      <c r="B193" s="110">
        <f t="shared" si="2"/>
        <v>6.57</v>
      </c>
      <c r="C193" s="575">
        <v>45957</v>
      </c>
      <c r="D193" s="569">
        <v>45959</v>
      </c>
      <c r="E193" s="569">
        <v>45959</v>
      </c>
      <c r="F193" t="s">
        <v>1351</v>
      </c>
      <c r="G193" t="s">
        <v>370</v>
      </c>
      <c r="H193" t="s">
        <v>367</v>
      </c>
      <c r="I193" t="s">
        <v>368</v>
      </c>
      <c r="J193" t="s">
        <v>696</v>
      </c>
      <c r="K193" t="s">
        <v>697</v>
      </c>
      <c r="L193" t="s">
        <v>698</v>
      </c>
      <c r="M193" t="s">
        <v>1352</v>
      </c>
      <c r="N193" t="s">
        <v>741</v>
      </c>
      <c r="O193" t="s">
        <v>1353</v>
      </c>
      <c r="P193" t="s">
        <v>1307</v>
      </c>
      <c r="Q193" t="s">
        <v>370</v>
      </c>
    </row>
    <row r="194" spans="1:17" ht="14.25" customHeight="1" x14ac:dyDescent="0.2">
      <c r="A194" s="572" t="s">
        <v>920</v>
      </c>
      <c r="B194" s="110">
        <f t="shared" ref="B194:B335" si="3">_xlfn.NUMBERVALUE(L194)*0.01</f>
        <v>8.4700000000000006</v>
      </c>
      <c r="C194" s="575">
        <v>45958</v>
      </c>
      <c r="D194" s="569">
        <v>45960</v>
      </c>
      <c r="E194" s="569">
        <v>45960</v>
      </c>
      <c r="F194" t="s">
        <v>1354</v>
      </c>
      <c r="G194" t="s">
        <v>370</v>
      </c>
      <c r="H194" t="s">
        <v>367</v>
      </c>
      <c r="I194" t="s">
        <v>368</v>
      </c>
      <c r="J194" t="s">
        <v>765</v>
      </c>
      <c r="K194" t="s">
        <v>932</v>
      </c>
      <c r="L194" t="s">
        <v>933</v>
      </c>
      <c r="M194" t="s">
        <v>1355</v>
      </c>
      <c r="N194" t="s">
        <v>747</v>
      </c>
      <c r="O194" t="s">
        <v>1356</v>
      </c>
      <c r="P194" t="s">
        <v>1357</v>
      </c>
      <c r="Q194" t="s">
        <v>370</v>
      </c>
    </row>
    <row r="195" spans="1:17" ht="14.25" customHeight="1" x14ac:dyDescent="0.2">
      <c r="A195" s="572" t="s">
        <v>920</v>
      </c>
      <c r="B195" s="110">
        <f t="shared" si="3"/>
        <v>17.36</v>
      </c>
      <c r="C195" s="575">
        <v>45958</v>
      </c>
      <c r="D195" s="569">
        <v>45960</v>
      </c>
      <c r="E195" s="569">
        <v>45960</v>
      </c>
      <c r="F195" t="s">
        <v>1358</v>
      </c>
      <c r="G195" t="s">
        <v>1359</v>
      </c>
      <c r="H195" t="s">
        <v>367</v>
      </c>
      <c r="I195" t="s">
        <v>368</v>
      </c>
      <c r="J195" t="s">
        <v>1179</v>
      </c>
      <c r="K195" t="s">
        <v>1360</v>
      </c>
      <c r="L195" t="s">
        <v>1361</v>
      </c>
      <c r="M195" t="s">
        <v>1362</v>
      </c>
      <c r="N195" t="s">
        <v>369</v>
      </c>
      <c r="O195" t="s">
        <v>1363</v>
      </c>
      <c r="P195" t="s">
        <v>1357</v>
      </c>
      <c r="Q195" t="s">
        <v>370</v>
      </c>
    </row>
    <row r="196" spans="1:17" ht="14.25" customHeight="1" x14ac:dyDescent="0.2">
      <c r="A196" s="578" t="s">
        <v>1461</v>
      </c>
      <c r="B196" s="110">
        <f t="shared" si="3"/>
        <v>3.62</v>
      </c>
      <c r="C196" s="575">
        <v>45972</v>
      </c>
      <c r="D196" s="569">
        <v>45974</v>
      </c>
      <c r="E196" s="569">
        <v>45974</v>
      </c>
      <c r="F196" t="s">
        <v>1397</v>
      </c>
      <c r="G196" t="s">
        <v>370</v>
      </c>
      <c r="H196" t="s">
        <v>367</v>
      </c>
      <c r="I196" t="s">
        <v>368</v>
      </c>
      <c r="J196" t="s">
        <v>1398</v>
      </c>
      <c r="K196" t="s">
        <v>1399</v>
      </c>
      <c r="L196" t="s">
        <v>1400</v>
      </c>
      <c r="M196" t="s">
        <v>1401</v>
      </c>
      <c r="N196" t="s">
        <v>747</v>
      </c>
      <c r="O196" t="s">
        <v>1402</v>
      </c>
      <c r="P196" t="s">
        <v>1403</v>
      </c>
      <c r="Q196" t="s">
        <v>370</v>
      </c>
    </row>
    <row r="197" spans="1:17" ht="14.25" customHeight="1" x14ac:dyDescent="0.2">
      <c r="A197" s="578" t="s">
        <v>1461</v>
      </c>
      <c r="B197" s="110">
        <f t="shared" si="3"/>
        <v>3.62</v>
      </c>
      <c r="C197" s="575">
        <v>45972</v>
      </c>
      <c r="D197" s="569">
        <v>45974</v>
      </c>
      <c r="E197" s="569">
        <v>45974</v>
      </c>
      <c r="F197" t="s">
        <v>1404</v>
      </c>
      <c r="G197" t="s">
        <v>370</v>
      </c>
      <c r="H197" t="s">
        <v>367</v>
      </c>
      <c r="I197" t="s">
        <v>368</v>
      </c>
      <c r="J197" t="s">
        <v>1398</v>
      </c>
      <c r="K197" t="s">
        <v>1399</v>
      </c>
      <c r="L197" t="s">
        <v>1400</v>
      </c>
      <c r="M197" t="s">
        <v>1405</v>
      </c>
      <c r="N197" t="s">
        <v>747</v>
      </c>
      <c r="O197" t="s">
        <v>1406</v>
      </c>
      <c r="P197" t="s">
        <v>1403</v>
      </c>
      <c r="Q197" t="s">
        <v>370</v>
      </c>
    </row>
    <row r="198" spans="1:17" ht="14.25" customHeight="1" x14ac:dyDescent="0.2">
      <c r="A198" s="578" t="s">
        <v>1461</v>
      </c>
      <c r="B198" s="110">
        <f t="shared" si="3"/>
        <v>3.62</v>
      </c>
      <c r="C198" s="575">
        <v>45972</v>
      </c>
      <c r="D198" s="569">
        <v>45974</v>
      </c>
      <c r="E198" s="569">
        <v>45974</v>
      </c>
      <c r="F198" t="s">
        <v>1407</v>
      </c>
      <c r="G198" t="s">
        <v>370</v>
      </c>
      <c r="H198" t="s">
        <v>367</v>
      </c>
      <c r="I198" t="s">
        <v>368</v>
      </c>
      <c r="J198" t="s">
        <v>1398</v>
      </c>
      <c r="K198" t="s">
        <v>1399</v>
      </c>
      <c r="L198" t="s">
        <v>1400</v>
      </c>
      <c r="M198" t="s">
        <v>1408</v>
      </c>
      <c r="N198" t="s">
        <v>747</v>
      </c>
      <c r="O198" t="s">
        <v>1409</v>
      </c>
      <c r="P198" t="s">
        <v>1403</v>
      </c>
      <c r="Q198" t="s">
        <v>370</v>
      </c>
    </row>
    <row r="199" spans="1:17" ht="14.25" customHeight="1" x14ac:dyDescent="0.2">
      <c r="A199" s="578" t="s">
        <v>1461</v>
      </c>
      <c r="B199" s="110">
        <f t="shared" si="3"/>
        <v>3.62</v>
      </c>
      <c r="C199" s="575">
        <v>45972</v>
      </c>
      <c r="D199" s="569">
        <v>45974</v>
      </c>
      <c r="E199" s="569">
        <v>45974</v>
      </c>
      <c r="F199" t="s">
        <v>817</v>
      </c>
      <c r="G199" t="s">
        <v>370</v>
      </c>
      <c r="H199" t="s">
        <v>367</v>
      </c>
      <c r="I199" t="s">
        <v>368</v>
      </c>
      <c r="J199" t="s">
        <v>1398</v>
      </c>
      <c r="K199" t="s">
        <v>1399</v>
      </c>
      <c r="L199" t="s">
        <v>1400</v>
      </c>
      <c r="M199" t="s">
        <v>1410</v>
      </c>
      <c r="N199" t="s">
        <v>747</v>
      </c>
      <c r="O199" t="s">
        <v>1411</v>
      </c>
      <c r="P199" t="s">
        <v>1403</v>
      </c>
      <c r="Q199" t="s">
        <v>370</v>
      </c>
    </row>
    <row r="200" spans="1:17" ht="14.25" customHeight="1" x14ac:dyDescent="0.2">
      <c r="A200" s="578" t="s">
        <v>1462</v>
      </c>
      <c r="B200" s="110">
        <f t="shared" si="3"/>
        <v>5.59</v>
      </c>
      <c r="C200" s="575">
        <v>45972</v>
      </c>
      <c r="D200" s="569">
        <v>45974</v>
      </c>
      <c r="E200" s="569">
        <v>45974</v>
      </c>
      <c r="F200" t="s">
        <v>896</v>
      </c>
      <c r="G200" t="s">
        <v>370</v>
      </c>
      <c r="H200" t="s">
        <v>367</v>
      </c>
      <c r="I200" t="s">
        <v>368</v>
      </c>
      <c r="J200" t="s">
        <v>1412</v>
      </c>
      <c r="K200" t="s">
        <v>1413</v>
      </c>
      <c r="L200" t="s">
        <v>1414</v>
      </c>
      <c r="M200" t="s">
        <v>1415</v>
      </c>
      <c r="N200" t="s">
        <v>741</v>
      </c>
      <c r="O200" t="s">
        <v>1416</v>
      </c>
      <c r="P200" t="s">
        <v>1403</v>
      </c>
      <c r="Q200" t="s">
        <v>370</v>
      </c>
    </row>
    <row r="201" spans="1:17" ht="14.25" customHeight="1" x14ac:dyDescent="0.2">
      <c r="A201" s="578" t="s">
        <v>1461</v>
      </c>
      <c r="B201" s="110">
        <f t="shared" si="3"/>
        <v>3.64</v>
      </c>
      <c r="C201" s="575">
        <v>45972</v>
      </c>
      <c r="D201" s="569">
        <v>45974</v>
      </c>
      <c r="E201" s="569">
        <v>45974</v>
      </c>
      <c r="F201" t="s">
        <v>887</v>
      </c>
      <c r="G201" t="s">
        <v>887</v>
      </c>
      <c r="H201" t="s">
        <v>367</v>
      </c>
      <c r="I201" t="s">
        <v>368</v>
      </c>
      <c r="J201" t="s">
        <v>1398</v>
      </c>
      <c r="K201" t="s">
        <v>1417</v>
      </c>
      <c r="L201" t="s">
        <v>1418</v>
      </c>
      <c r="M201" s="574" t="s">
        <v>1419</v>
      </c>
      <c r="N201" t="s">
        <v>369</v>
      </c>
      <c r="O201" t="s">
        <v>1420</v>
      </c>
      <c r="P201" t="s">
        <v>1403</v>
      </c>
      <c r="Q201" t="s">
        <v>370</v>
      </c>
    </row>
    <row r="202" spans="1:17" ht="14.25" customHeight="1" x14ac:dyDescent="0.2">
      <c r="A202" s="578" t="s">
        <v>1461</v>
      </c>
      <c r="B202" s="110">
        <f t="shared" si="3"/>
        <v>3.64</v>
      </c>
      <c r="C202" s="575">
        <v>45972</v>
      </c>
      <c r="D202" s="569">
        <v>45974</v>
      </c>
      <c r="E202" s="569">
        <v>45974</v>
      </c>
      <c r="F202" t="s">
        <v>800</v>
      </c>
      <c r="G202" t="s">
        <v>800</v>
      </c>
      <c r="H202" t="s">
        <v>367</v>
      </c>
      <c r="I202" t="s">
        <v>368</v>
      </c>
      <c r="J202" t="s">
        <v>1398</v>
      </c>
      <c r="K202" t="s">
        <v>1417</v>
      </c>
      <c r="L202" t="s">
        <v>1418</v>
      </c>
      <c r="M202" t="s">
        <v>1421</v>
      </c>
      <c r="N202" t="s">
        <v>369</v>
      </c>
      <c r="O202" t="s">
        <v>1422</v>
      </c>
      <c r="P202" t="s">
        <v>1403</v>
      </c>
      <c r="Q202" t="s">
        <v>370</v>
      </c>
    </row>
    <row r="203" spans="1:17" ht="14.25" customHeight="1" x14ac:dyDescent="0.2">
      <c r="A203" s="578" t="s">
        <v>1461</v>
      </c>
      <c r="B203" s="110">
        <f t="shared" si="3"/>
        <v>3.64</v>
      </c>
      <c r="C203" s="575">
        <v>45972</v>
      </c>
      <c r="D203" s="569">
        <v>45974</v>
      </c>
      <c r="E203" s="569">
        <v>45974</v>
      </c>
      <c r="F203" t="s">
        <v>791</v>
      </c>
      <c r="G203" t="s">
        <v>370</v>
      </c>
      <c r="H203" t="s">
        <v>367</v>
      </c>
      <c r="I203" t="s">
        <v>368</v>
      </c>
      <c r="J203" t="s">
        <v>1398</v>
      </c>
      <c r="K203" t="s">
        <v>1417</v>
      </c>
      <c r="L203" t="s">
        <v>1418</v>
      </c>
      <c r="M203" t="s">
        <v>1423</v>
      </c>
      <c r="N203" t="s">
        <v>741</v>
      </c>
      <c r="O203" t="s">
        <v>1424</v>
      </c>
      <c r="P203" t="s">
        <v>1403</v>
      </c>
      <c r="Q203" t="s">
        <v>370</v>
      </c>
    </row>
    <row r="204" spans="1:17" ht="14.25" customHeight="1" x14ac:dyDescent="0.2">
      <c r="A204" s="578" t="s">
        <v>1461</v>
      </c>
      <c r="B204" s="110">
        <f t="shared" si="3"/>
        <v>3.64</v>
      </c>
      <c r="C204" s="575">
        <v>45972</v>
      </c>
      <c r="D204" s="569">
        <v>45974</v>
      </c>
      <c r="E204" s="569">
        <v>45974</v>
      </c>
      <c r="F204" t="s">
        <v>1096</v>
      </c>
      <c r="G204" t="s">
        <v>370</v>
      </c>
      <c r="H204" t="s">
        <v>367</v>
      </c>
      <c r="I204" t="s">
        <v>368</v>
      </c>
      <c r="J204" t="s">
        <v>1398</v>
      </c>
      <c r="K204" t="s">
        <v>1417</v>
      </c>
      <c r="L204" t="s">
        <v>1418</v>
      </c>
      <c r="M204" t="s">
        <v>1425</v>
      </c>
      <c r="N204" t="s">
        <v>741</v>
      </c>
      <c r="O204" t="s">
        <v>1426</v>
      </c>
      <c r="P204" t="s">
        <v>1403</v>
      </c>
      <c r="Q204" t="s">
        <v>370</v>
      </c>
    </row>
    <row r="205" spans="1:17" ht="14.25" customHeight="1" x14ac:dyDescent="0.2">
      <c r="A205" s="578" t="s">
        <v>1461</v>
      </c>
      <c r="B205" s="110">
        <f t="shared" si="3"/>
        <v>3.64</v>
      </c>
      <c r="C205" s="575">
        <v>45972</v>
      </c>
      <c r="D205" s="569">
        <v>45974</v>
      </c>
      <c r="E205" s="569">
        <v>45974</v>
      </c>
      <c r="F205" t="s">
        <v>883</v>
      </c>
      <c r="G205" t="s">
        <v>884</v>
      </c>
      <c r="H205" t="s">
        <v>367</v>
      </c>
      <c r="I205" t="s">
        <v>368</v>
      </c>
      <c r="J205" t="s">
        <v>1398</v>
      </c>
      <c r="K205" t="s">
        <v>1417</v>
      </c>
      <c r="L205" t="s">
        <v>1418</v>
      </c>
      <c r="M205" t="s">
        <v>1427</v>
      </c>
      <c r="N205" t="s">
        <v>369</v>
      </c>
      <c r="O205" t="s">
        <v>1428</v>
      </c>
      <c r="P205" t="s">
        <v>1403</v>
      </c>
      <c r="Q205" t="s">
        <v>370</v>
      </c>
    </row>
    <row r="206" spans="1:17" ht="14.25" customHeight="1" x14ac:dyDescent="0.2">
      <c r="A206" s="578" t="s">
        <v>1461</v>
      </c>
      <c r="B206" s="110">
        <f t="shared" si="3"/>
        <v>3.64</v>
      </c>
      <c r="C206" s="575">
        <v>45972</v>
      </c>
      <c r="D206" s="569">
        <v>45974</v>
      </c>
      <c r="E206" s="569">
        <v>45974</v>
      </c>
      <c r="F206" t="s">
        <v>1005</v>
      </c>
      <c r="G206" t="s">
        <v>1005</v>
      </c>
      <c r="H206" t="s">
        <v>367</v>
      </c>
      <c r="I206" t="s">
        <v>368</v>
      </c>
      <c r="J206" t="s">
        <v>1398</v>
      </c>
      <c r="K206" t="s">
        <v>1417</v>
      </c>
      <c r="L206" t="s">
        <v>1418</v>
      </c>
      <c r="M206" t="s">
        <v>1429</v>
      </c>
      <c r="N206" t="s">
        <v>369</v>
      </c>
      <c r="O206" t="s">
        <v>1430</v>
      </c>
      <c r="P206" t="s">
        <v>1403</v>
      </c>
      <c r="Q206" t="s">
        <v>370</v>
      </c>
    </row>
    <row r="207" spans="1:17" ht="14.25" customHeight="1" x14ac:dyDescent="0.2">
      <c r="A207" s="578" t="s">
        <v>1461</v>
      </c>
      <c r="B207" s="110">
        <f t="shared" si="3"/>
        <v>3.64</v>
      </c>
      <c r="C207" s="575">
        <v>45972</v>
      </c>
      <c r="D207" s="569">
        <v>45974</v>
      </c>
      <c r="E207" s="569">
        <v>45974</v>
      </c>
      <c r="F207" t="s">
        <v>1431</v>
      </c>
      <c r="G207" t="s">
        <v>370</v>
      </c>
      <c r="H207" t="s">
        <v>367</v>
      </c>
      <c r="I207" t="s">
        <v>368</v>
      </c>
      <c r="J207" t="s">
        <v>1398</v>
      </c>
      <c r="K207" t="s">
        <v>1417</v>
      </c>
      <c r="L207" t="s">
        <v>1418</v>
      </c>
      <c r="M207" t="s">
        <v>1432</v>
      </c>
      <c r="N207" t="s">
        <v>741</v>
      </c>
      <c r="O207" t="s">
        <v>1433</v>
      </c>
      <c r="P207" t="s">
        <v>1403</v>
      </c>
      <c r="Q207" t="s">
        <v>370</v>
      </c>
    </row>
    <row r="208" spans="1:17" ht="14.25" customHeight="1" x14ac:dyDescent="0.2">
      <c r="A208" s="578" t="s">
        <v>1462</v>
      </c>
      <c r="B208" s="110">
        <f t="shared" si="3"/>
        <v>5.59</v>
      </c>
      <c r="C208" s="575">
        <v>45972</v>
      </c>
      <c r="D208" s="569">
        <v>45974</v>
      </c>
      <c r="E208" s="569">
        <v>45974</v>
      </c>
      <c r="F208" t="s">
        <v>1434</v>
      </c>
      <c r="G208" t="s">
        <v>370</v>
      </c>
      <c r="H208" t="s">
        <v>367</v>
      </c>
      <c r="I208" t="s">
        <v>368</v>
      </c>
      <c r="J208" t="s">
        <v>1412</v>
      </c>
      <c r="K208" t="s">
        <v>1413</v>
      </c>
      <c r="L208" t="s">
        <v>1414</v>
      </c>
      <c r="M208" t="s">
        <v>1435</v>
      </c>
      <c r="N208" t="s">
        <v>741</v>
      </c>
      <c r="O208" t="s">
        <v>1436</v>
      </c>
      <c r="P208" t="s">
        <v>1403</v>
      </c>
      <c r="Q208" t="s">
        <v>370</v>
      </c>
    </row>
    <row r="209" spans="1:17" ht="14.25" customHeight="1" x14ac:dyDescent="0.2">
      <c r="A209" s="578" t="s">
        <v>1461</v>
      </c>
      <c r="B209" s="110">
        <f t="shared" si="3"/>
        <v>3.62</v>
      </c>
      <c r="C209" s="575">
        <v>45972</v>
      </c>
      <c r="D209" s="569">
        <v>45974</v>
      </c>
      <c r="E209" s="569">
        <v>45974</v>
      </c>
      <c r="F209" t="s">
        <v>974</v>
      </c>
      <c r="G209" t="s">
        <v>370</v>
      </c>
      <c r="H209" t="s">
        <v>367</v>
      </c>
      <c r="I209" t="s">
        <v>368</v>
      </c>
      <c r="J209" t="s">
        <v>1398</v>
      </c>
      <c r="K209" t="s">
        <v>1399</v>
      </c>
      <c r="L209" t="s">
        <v>1400</v>
      </c>
      <c r="M209" t="s">
        <v>1437</v>
      </c>
      <c r="N209" t="s">
        <v>747</v>
      </c>
      <c r="O209" t="s">
        <v>1438</v>
      </c>
      <c r="P209" t="s">
        <v>1403</v>
      </c>
      <c r="Q209" t="s">
        <v>370</v>
      </c>
    </row>
    <row r="210" spans="1:17" ht="14.25" customHeight="1" x14ac:dyDescent="0.2">
      <c r="A210" s="578" t="s">
        <v>1461</v>
      </c>
      <c r="B210" s="110">
        <f t="shared" si="3"/>
        <v>3.64</v>
      </c>
      <c r="C210" s="575">
        <v>45972</v>
      </c>
      <c r="D210" s="569">
        <v>45974</v>
      </c>
      <c r="E210" s="569">
        <v>45974</v>
      </c>
      <c r="F210" t="s">
        <v>841</v>
      </c>
      <c r="G210" t="s">
        <v>370</v>
      </c>
      <c r="H210" t="s">
        <v>367</v>
      </c>
      <c r="I210" t="s">
        <v>368</v>
      </c>
      <c r="J210" t="s">
        <v>1398</v>
      </c>
      <c r="K210" t="s">
        <v>1417</v>
      </c>
      <c r="L210" t="s">
        <v>1418</v>
      </c>
      <c r="M210" t="s">
        <v>1439</v>
      </c>
      <c r="N210" t="s">
        <v>741</v>
      </c>
      <c r="O210" t="s">
        <v>1440</v>
      </c>
      <c r="P210" t="s">
        <v>1403</v>
      </c>
      <c r="Q210" t="s">
        <v>370</v>
      </c>
    </row>
    <row r="211" spans="1:17" ht="14.25" customHeight="1" x14ac:dyDescent="0.2">
      <c r="A211" s="578" t="s">
        <v>1461</v>
      </c>
      <c r="B211" s="110">
        <f t="shared" si="3"/>
        <v>3.64</v>
      </c>
      <c r="C211" s="575">
        <v>45972</v>
      </c>
      <c r="D211" s="569">
        <v>45974</v>
      </c>
      <c r="E211" s="569">
        <v>45974</v>
      </c>
      <c r="F211" t="s">
        <v>1441</v>
      </c>
      <c r="G211" t="s">
        <v>370</v>
      </c>
      <c r="H211" t="s">
        <v>367</v>
      </c>
      <c r="I211" t="s">
        <v>368</v>
      </c>
      <c r="J211" t="s">
        <v>1398</v>
      </c>
      <c r="K211" t="s">
        <v>1417</v>
      </c>
      <c r="L211" t="s">
        <v>1418</v>
      </c>
      <c r="M211" t="s">
        <v>1442</v>
      </c>
      <c r="N211" t="s">
        <v>741</v>
      </c>
      <c r="O211" t="s">
        <v>1443</v>
      </c>
      <c r="P211" t="s">
        <v>1403</v>
      </c>
      <c r="Q211" t="s">
        <v>370</v>
      </c>
    </row>
    <row r="212" spans="1:17" ht="14.25" customHeight="1" x14ac:dyDescent="0.2">
      <c r="A212" s="578" t="s">
        <v>1462</v>
      </c>
      <c r="B212" s="110">
        <f t="shared" si="3"/>
        <v>5.59</v>
      </c>
      <c r="C212" s="575">
        <v>45972</v>
      </c>
      <c r="D212" s="569">
        <v>45974</v>
      </c>
      <c r="E212" s="569">
        <v>45974</v>
      </c>
      <c r="F212" t="s">
        <v>1444</v>
      </c>
      <c r="G212" t="s">
        <v>370</v>
      </c>
      <c r="H212" t="s">
        <v>367</v>
      </c>
      <c r="I212" t="s">
        <v>368</v>
      </c>
      <c r="J212" t="s">
        <v>1412</v>
      </c>
      <c r="K212" t="s">
        <v>1413</v>
      </c>
      <c r="L212" t="s">
        <v>1414</v>
      </c>
      <c r="M212" t="s">
        <v>1445</v>
      </c>
      <c r="N212" t="s">
        <v>741</v>
      </c>
      <c r="O212" t="s">
        <v>1446</v>
      </c>
      <c r="P212" t="s">
        <v>1403</v>
      </c>
      <c r="Q212" t="s">
        <v>370</v>
      </c>
    </row>
    <row r="213" spans="1:17" ht="14.25" customHeight="1" x14ac:dyDescent="0.2">
      <c r="A213" s="578" t="s">
        <v>1461</v>
      </c>
      <c r="B213" s="110">
        <f t="shared" si="3"/>
        <v>3.64</v>
      </c>
      <c r="C213" s="575">
        <v>45972</v>
      </c>
      <c r="D213" s="569">
        <v>45974</v>
      </c>
      <c r="E213" s="569">
        <v>45974</v>
      </c>
      <c r="F213" t="s">
        <v>1447</v>
      </c>
      <c r="G213" t="s">
        <v>370</v>
      </c>
      <c r="H213" t="s">
        <v>367</v>
      </c>
      <c r="I213" t="s">
        <v>368</v>
      </c>
      <c r="J213" t="s">
        <v>1398</v>
      </c>
      <c r="K213" t="s">
        <v>1417</v>
      </c>
      <c r="L213" t="s">
        <v>1418</v>
      </c>
      <c r="M213" t="s">
        <v>1448</v>
      </c>
      <c r="N213" t="s">
        <v>741</v>
      </c>
      <c r="O213" t="s">
        <v>1449</v>
      </c>
      <c r="P213" t="s">
        <v>1403</v>
      </c>
      <c r="Q213" t="s">
        <v>370</v>
      </c>
    </row>
    <row r="214" spans="1:17" ht="14.25" customHeight="1" x14ac:dyDescent="0.2">
      <c r="A214" s="578" t="s">
        <v>1461</v>
      </c>
      <c r="B214" s="110">
        <f t="shared" si="3"/>
        <v>3.64</v>
      </c>
      <c r="C214" s="575">
        <v>45972</v>
      </c>
      <c r="D214" s="569">
        <v>45974</v>
      </c>
      <c r="E214" s="569">
        <v>45974</v>
      </c>
      <c r="F214" t="s">
        <v>1011</v>
      </c>
      <c r="G214" t="s">
        <v>370</v>
      </c>
      <c r="H214" t="s">
        <v>367</v>
      </c>
      <c r="I214" t="s">
        <v>368</v>
      </c>
      <c r="J214" t="s">
        <v>1398</v>
      </c>
      <c r="K214" t="s">
        <v>1417</v>
      </c>
      <c r="L214" t="s">
        <v>1418</v>
      </c>
      <c r="M214" t="s">
        <v>1450</v>
      </c>
      <c r="N214" t="s">
        <v>741</v>
      </c>
      <c r="O214" t="s">
        <v>1451</v>
      </c>
      <c r="P214" t="s">
        <v>1403</v>
      </c>
      <c r="Q214" t="s">
        <v>370</v>
      </c>
    </row>
    <row r="215" spans="1:17" ht="14.25" customHeight="1" x14ac:dyDescent="0.2">
      <c r="A215" s="578" t="s">
        <v>1461</v>
      </c>
      <c r="B215" s="110">
        <f t="shared" si="3"/>
        <v>3.64</v>
      </c>
      <c r="C215" s="575">
        <v>45972</v>
      </c>
      <c r="D215" s="569">
        <v>45974</v>
      </c>
      <c r="E215" s="569">
        <v>45974</v>
      </c>
      <c r="F215" t="s">
        <v>807</v>
      </c>
      <c r="G215" t="s">
        <v>370</v>
      </c>
      <c r="H215" t="s">
        <v>367</v>
      </c>
      <c r="I215" t="s">
        <v>368</v>
      </c>
      <c r="J215" t="s">
        <v>1398</v>
      </c>
      <c r="K215" t="s">
        <v>1417</v>
      </c>
      <c r="L215" t="s">
        <v>1418</v>
      </c>
      <c r="M215" t="s">
        <v>1452</v>
      </c>
      <c r="N215" t="s">
        <v>741</v>
      </c>
      <c r="O215" t="s">
        <v>1453</v>
      </c>
      <c r="P215" t="s">
        <v>1403</v>
      </c>
      <c r="Q215" t="s">
        <v>370</v>
      </c>
    </row>
    <row r="216" spans="1:17" ht="14.25" customHeight="1" x14ac:dyDescent="0.2">
      <c r="A216" s="578" t="s">
        <v>1461</v>
      </c>
      <c r="B216" s="110">
        <f t="shared" si="3"/>
        <v>3.64</v>
      </c>
      <c r="C216" s="575">
        <v>45972</v>
      </c>
      <c r="D216" s="569">
        <v>45974</v>
      </c>
      <c r="E216" s="569">
        <v>45974</v>
      </c>
      <c r="F216" t="s">
        <v>877</v>
      </c>
      <c r="G216" t="s">
        <v>370</v>
      </c>
      <c r="H216" t="s">
        <v>367</v>
      </c>
      <c r="I216" t="s">
        <v>368</v>
      </c>
      <c r="J216" t="s">
        <v>1398</v>
      </c>
      <c r="K216" t="s">
        <v>1417</v>
      </c>
      <c r="L216" t="s">
        <v>1418</v>
      </c>
      <c r="M216" t="s">
        <v>1454</v>
      </c>
      <c r="N216" t="s">
        <v>741</v>
      </c>
      <c r="O216" t="s">
        <v>1455</v>
      </c>
      <c r="P216" t="s">
        <v>1403</v>
      </c>
      <c r="Q216" t="s">
        <v>370</v>
      </c>
    </row>
    <row r="217" spans="1:17" ht="14.25" customHeight="1" x14ac:dyDescent="0.2">
      <c r="A217" s="578" t="s">
        <v>1461</v>
      </c>
      <c r="B217" s="110">
        <f t="shared" si="3"/>
        <v>3.64</v>
      </c>
      <c r="C217" s="575">
        <v>45972</v>
      </c>
      <c r="D217" s="569">
        <v>45974</v>
      </c>
      <c r="E217" s="569">
        <v>45974</v>
      </c>
      <c r="F217" t="s">
        <v>865</v>
      </c>
      <c r="G217" t="s">
        <v>370</v>
      </c>
      <c r="H217" t="s">
        <v>367</v>
      </c>
      <c r="I217" t="s">
        <v>368</v>
      </c>
      <c r="J217" t="s">
        <v>1398</v>
      </c>
      <c r="K217" t="s">
        <v>1417</v>
      </c>
      <c r="L217" t="s">
        <v>1418</v>
      </c>
      <c r="M217" t="s">
        <v>1456</v>
      </c>
      <c r="N217" t="s">
        <v>741</v>
      </c>
      <c r="O217" t="s">
        <v>1457</v>
      </c>
      <c r="P217" t="s">
        <v>1403</v>
      </c>
      <c r="Q217" t="s">
        <v>370</v>
      </c>
    </row>
    <row r="218" spans="1:17" ht="14.25" customHeight="1" x14ac:dyDescent="0.2">
      <c r="A218" s="578" t="s">
        <v>1461</v>
      </c>
      <c r="B218" s="110">
        <f t="shared" si="3"/>
        <v>3.64</v>
      </c>
      <c r="C218" s="575">
        <v>45972</v>
      </c>
      <c r="D218" s="569">
        <v>45974</v>
      </c>
      <c r="E218" s="569">
        <v>45974</v>
      </c>
      <c r="F218" t="s">
        <v>1458</v>
      </c>
      <c r="G218" t="s">
        <v>1458</v>
      </c>
      <c r="H218" t="s">
        <v>367</v>
      </c>
      <c r="I218" t="s">
        <v>368</v>
      </c>
      <c r="J218" t="s">
        <v>1398</v>
      </c>
      <c r="K218" t="s">
        <v>1417</v>
      </c>
      <c r="L218" t="s">
        <v>1418</v>
      </c>
      <c r="M218" s="574" t="s">
        <v>1459</v>
      </c>
      <c r="N218" t="s">
        <v>369</v>
      </c>
      <c r="O218" t="s">
        <v>1460</v>
      </c>
      <c r="P218" t="s">
        <v>1403</v>
      </c>
      <c r="Q218" t="s">
        <v>370</v>
      </c>
    </row>
    <row r="219" spans="1:17" ht="14.25" customHeight="1" x14ac:dyDescent="0.2">
      <c r="A219" s="578" t="s">
        <v>1461</v>
      </c>
      <c r="B219" s="110">
        <f t="shared" si="3"/>
        <v>3.64</v>
      </c>
      <c r="C219" s="575">
        <v>45973</v>
      </c>
      <c r="D219" s="569">
        <v>45975</v>
      </c>
      <c r="E219" s="569">
        <v>45975</v>
      </c>
      <c r="F219" t="s">
        <v>1538</v>
      </c>
      <c r="G219" t="s">
        <v>370</v>
      </c>
      <c r="H219" t="s">
        <v>367</v>
      </c>
      <c r="I219" t="s">
        <v>368</v>
      </c>
      <c r="J219" t="s">
        <v>1398</v>
      </c>
      <c r="K219" t="s">
        <v>1417</v>
      </c>
      <c r="L219" t="s">
        <v>1418</v>
      </c>
      <c r="M219" t="s">
        <v>1539</v>
      </c>
      <c r="N219" t="s">
        <v>781</v>
      </c>
      <c r="O219" t="s">
        <v>1540</v>
      </c>
      <c r="P219" t="s">
        <v>1541</v>
      </c>
      <c r="Q219" t="s">
        <v>370</v>
      </c>
    </row>
    <row r="220" spans="1:17" ht="14.25" customHeight="1" x14ac:dyDescent="0.2">
      <c r="A220" s="578" t="s">
        <v>1461</v>
      </c>
      <c r="B220" s="110">
        <f t="shared" si="3"/>
        <v>3.62</v>
      </c>
      <c r="C220" s="575">
        <v>45973</v>
      </c>
      <c r="D220" s="569">
        <v>45975</v>
      </c>
      <c r="E220" s="569">
        <v>45975</v>
      </c>
      <c r="F220" t="s">
        <v>1065</v>
      </c>
      <c r="G220" t="s">
        <v>370</v>
      </c>
      <c r="H220" t="s">
        <v>367</v>
      </c>
      <c r="I220" t="s">
        <v>368</v>
      </c>
      <c r="J220" t="s">
        <v>1398</v>
      </c>
      <c r="K220" t="s">
        <v>1399</v>
      </c>
      <c r="L220" t="s">
        <v>1400</v>
      </c>
      <c r="M220" t="s">
        <v>1542</v>
      </c>
      <c r="N220" t="s">
        <v>747</v>
      </c>
      <c r="O220" t="s">
        <v>1543</v>
      </c>
      <c r="P220" t="s">
        <v>1541</v>
      </c>
      <c r="Q220" t="s">
        <v>370</v>
      </c>
    </row>
    <row r="221" spans="1:17" ht="14.25" customHeight="1" x14ac:dyDescent="0.2">
      <c r="A221" s="578" t="s">
        <v>1462</v>
      </c>
      <c r="B221" s="110">
        <f t="shared" si="3"/>
        <v>5.55</v>
      </c>
      <c r="C221" s="575">
        <v>45973</v>
      </c>
      <c r="D221" s="569">
        <v>45975</v>
      </c>
      <c r="E221" s="569">
        <v>45975</v>
      </c>
      <c r="F221" t="s">
        <v>1544</v>
      </c>
      <c r="G221" t="s">
        <v>370</v>
      </c>
      <c r="H221" t="s">
        <v>367</v>
      </c>
      <c r="I221" t="s">
        <v>368</v>
      </c>
      <c r="J221" t="s">
        <v>1412</v>
      </c>
      <c r="K221" t="s">
        <v>1545</v>
      </c>
      <c r="L221" t="s">
        <v>1546</v>
      </c>
      <c r="M221" t="s">
        <v>1547</v>
      </c>
      <c r="N221" t="s">
        <v>747</v>
      </c>
      <c r="O221" t="s">
        <v>1548</v>
      </c>
      <c r="P221" t="s">
        <v>1541</v>
      </c>
      <c r="Q221" t="s">
        <v>370</v>
      </c>
    </row>
    <row r="222" spans="1:17" ht="14.25" customHeight="1" x14ac:dyDescent="0.2">
      <c r="A222" s="578" t="s">
        <v>1462</v>
      </c>
      <c r="B222" s="110">
        <f t="shared" si="3"/>
        <v>5.55</v>
      </c>
      <c r="C222" s="575">
        <v>45973</v>
      </c>
      <c r="D222" s="569">
        <v>45975</v>
      </c>
      <c r="E222" s="569">
        <v>45975</v>
      </c>
      <c r="F222" t="s">
        <v>1354</v>
      </c>
      <c r="G222" t="s">
        <v>370</v>
      </c>
      <c r="H222" t="s">
        <v>367</v>
      </c>
      <c r="I222" t="s">
        <v>368</v>
      </c>
      <c r="J222" t="s">
        <v>1412</v>
      </c>
      <c r="K222" t="s">
        <v>1545</v>
      </c>
      <c r="L222" t="s">
        <v>1546</v>
      </c>
      <c r="M222" t="s">
        <v>1549</v>
      </c>
      <c r="N222" t="s">
        <v>747</v>
      </c>
      <c r="O222" t="s">
        <v>1550</v>
      </c>
      <c r="P222" t="s">
        <v>1541</v>
      </c>
      <c r="Q222" t="s">
        <v>370</v>
      </c>
    </row>
    <row r="223" spans="1:17" ht="14.25" customHeight="1" x14ac:dyDescent="0.2">
      <c r="A223" s="578" t="s">
        <v>1461</v>
      </c>
      <c r="B223" s="110">
        <f t="shared" si="3"/>
        <v>3.64</v>
      </c>
      <c r="C223" s="575">
        <v>45973</v>
      </c>
      <c r="D223" s="569">
        <v>45975</v>
      </c>
      <c r="E223" s="569">
        <v>45975</v>
      </c>
      <c r="F223" t="s">
        <v>1551</v>
      </c>
      <c r="G223" t="s">
        <v>370</v>
      </c>
      <c r="H223" t="s">
        <v>367</v>
      </c>
      <c r="I223" t="s">
        <v>368</v>
      </c>
      <c r="J223" t="s">
        <v>1398</v>
      </c>
      <c r="K223" t="s">
        <v>1417</v>
      </c>
      <c r="L223" t="s">
        <v>1418</v>
      </c>
      <c r="M223" t="s">
        <v>1552</v>
      </c>
      <c r="N223" t="s">
        <v>741</v>
      </c>
      <c r="O223" t="s">
        <v>1553</v>
      </c>
      <c r="P223" t="s">
        <v>1541</v>
      </c>
      <c r="Q223" t="s">
        <v>370</v>
      </c>
    </row>
    <row r="224" spans="1:17" ht="14.25" customHeight="1" x14ac:dyDescent="0.2">
      <c r="A224" s="578" t="s">
        <v>1461</v>
      </c>
      <c r="B224" s="110">
        <f t="shared" si="3"/>
        <v>3.64</v>
      </c>
      <c r="C224" s="575">
        <v>45973</v>
      </c>
      <c r="D224" s="569">
        <v>45975</v>
      </c>
      <c r="E224" s="569">
        <v>45975</v>
      </c>
      <c r="F224" t="s">
        <v>1554</v>
      </c>
      <c r="G224" t="s">
        <v>370</v>
      </c>
      <c r="H224" t="s">
        <v>367</v>
      </c>
      <c r="I224" t="s">
        <v>368</v>
      </c>
      <c r="J224" t="s">
        <v>1398</v>
      </c>
      <c r="K224" t="s">
        <v>1417</v>
      </c>
      <c r="L224" t="s">
        <v>1418</v>
      </c>
      <c r="M224" t="s">
        <v>1555</v>
      </c>
      <c r="N224" t="s">
        <v>741</v>
      </c>
      <c r="O224" t="s">
        <v>1556</v>
      </c>
      <c r="P224" t="s">
        <v>1541</v>
      </c>
      <c r="Q224" t="s">
        <v>370</v>
      </c>
    </row>
    <row r="225" spans="1:17" ht="14.25" customHeight="1" x14ac:dyDescent="0.2">
      <c r="A225" s="578" t="s">
        <v>1461</v>
      </c>
      <c r="B225" s="110">
        <f t="shared" si="3"/>
        <v>3.64</v>
      </c>
      <c r="C225" s="575">
        <v>45973</v>
      </c>
      <c r="D225" s="569">
        <v>45975</v>
      </c>
      <c r="E225" s="569">
        <v>45975</v>
      </c>
      <c r="F225" t="s">
        <v>1176</v>
      </c>
      <c r="G225" t="s">
        <v>1176</v>
      </c>
      <c r="H225" t="s">
        <v>367</v>
      </c>
      <c r="I225" t="s">
        <v>368</v>
      </c>
      <c r="J225" t="s">
        <v>1398</v>
      </c>
      <c r="K225" t="s">
        <v>1417</v>
      </c>
      <c r="L225" t="s">
        <v>1418</v>
      </c>
      <c r="M225" t="s">
        <v>1557</v>
      </c>
      <c r="N225" t="s">
        <v>369</v>
      </c>
      <c r="O225" t="s">
        <v>1558</v>
      </c>
      <c r="P225" t="s">
        <v>1541</v>
      </c>
      <c r="Q225" t="s">
        <v>370</v>
      </c>
    </row>
    <row r="226" spans="1:17" ht="14.25" customHeight="1" x14ac:dyDescent="0.2">
      <c r="A226" s="578" t="s">
        <v>1461</v>
      </c>
      <c r="B226" s="110">
        <f t="shared" si="3"/>
        <v>3.62</v>
      </c>
      <c r="C226" s="575">
        <v>45973</v>
      </c>
      <c r="D226" s="569">
        <v>45975</v>
      </c>
      <c r="E226" s="569">
        <v>45975</v>
      </c>
      <c r="F226" t="s">
        <v>1559</v>
      </c>
      <c r="G226" t="s">
        <v>370</v>
      </c>
      <c r="H226" t="s">
        <v>367</v>
      </c>
      <c r="I226" t="s">
        <v>368</v>
      </c>
      <c r="J226" t="s">
        <v>1398</v>
      </c>
      <c r="K226" t="s">
        <v>1399</v>
      </c>
      <c r="L226" t="s">
        <v>1400</v>
      </c>
      <c r="M226" t="s">
        <v>1560</v>
      </c>
      <c r="N226" t="s">
        <v>747</v>
      </c>
      <c r="O226" t="s">
        <v>1561</v>
      </c>
      <c r="P226" t="s">
        <v>1541</v>
      </c>
      <c r="Q226" t="s">
        <v>370</v>
      </c>
    </row>
    <row r="227" spans="1:17" ht="14.25" customHeight="1" x14ac:dyDescent="0.2">
      <c r="A227" s="578" t="s">
        <v>1461</v>
      </c>
      <c r="B227" s="110">
        <f t="shared" si="3"/>
        <v>3.64</v>
      </c>
      <c r="C227" s="575">
        <v>45973</v>
      </c>
      <c r="D227" s="569">
        <v>45975</v>
      </c>
      <c r="E227" s="569">
        <v>45975</v>
      </c>
      <c r="F227" t="s">
        <v>1562</v>
      </c>
      <c r="G227" t="s">
        <v>1563</v>
      </c>
      <c r="H227" t="s">
        <v>367</v>
      </c>
      <c r="I227" t="s">
        <v>368</v>
      </c>
      <c r="J227" t="s">
        <v>1398</v>
      </c>
      <c r="K227" t="s">
        <v>1417</v>
      </c>
      <c r="L227" t="s">
        <v>1418</v>
      </c>
      <c r="M227" t="s">
        <v>1564</v>
      </c>
      <c r="N227" t="s">
        <v>369</v>
      </c>
      <c r="O227" t="s">
        <v>1565</v>
      </c>
      <c r="P227" t="s">
        <v>1541</v>
      </c>
      <c r="Q227" t="s">
        <v>370</v>
      </c>
    </row>
    <row r="228" spans="1:17" ht="14.25" customHeight="1" x14ac:dyDescent="0.2">
      <c r="A228" s="578" t="s">
        <v>1461</v>
      </c>
      <c r="B228" s="110">
        <f t="shared" si="3"/>
        <v>3.62</v>
      </c>
      <c r="C228" s="575">
        <v>45973</v>
      </c>
      <c r="D228" s="569">
        <v>45975</v>
      </c>
      <c r="E228" s="569">
        <v>45975</v>
      </c>
      <c r="F228" t="s">
        <v>874</v>
      </c>
      <c r="G228" t="s">
        <v>370</v>
      </c>
      <c r="H228" t="s">
        <v>367</v>
      </c>
      <c r="I228" t="s">
        <v>368</v>
      </c>
      <c r="J228" t="s">
        <v>1398</v>
      </c>
      <c r="K228" t="s">
        <v>1399</v>
      </c>
      <c r="L228" t="s">
        <v>1400</v>
      </c>
      <c r="M228" t="s">
        <v>1566</v>
      </c>
      <c r="N228" t="s">
        <v>747</v>
      </c>
      <c r="O228" t="s">
        <v>1567</v>
      </c>
      <c r="P228" t="s">
        <v>1541</v>
      </c>
      <c r="Q228" t="s">
        <v>370</v>
      </c>
    </row>
    <row r="229" spans="1:17" ht="14.25" customHeight="1" x14ac:dyDescent="0.2">
      <c r="A229" s="578" t="s">
        <v>1461</v>
      </c>
      <c r="B229" s="110">
        <f t="shared" si="3"/>
        <v>3.64</v>
      </c>
      <c r="C229" s="575">
        <v>45973</v>
      </c>
      <c r="D229" s="569">
        <v>45975</v>
      </c>
      <c r="E229" s="569">
        <v>45975</v>
      </c>
      <c r="F229" t="s">
        <v>1062</v>
      </c>
      <c r="G229" t="s">
        <v>370</v>
      </c>
      <c r="H229" t="s">
        <v>367</v>
      </c>
      <c r="I229" t="s">
        <v>368</v>
      </c>
      <c r="J229" t="s">
        <v>1398</v>
      </c>
      <c r="K229" t="s">
        <v>1417</v>
      </c>
      <c r="L229" t="s">
        <v>1418</v>
      </c>
      <c r="M229" t="s">
        <v>1568</v>
      </c>
      <c r="N229" t="s">
        <v>741</v>
      </c>
      <c r="O229" t="s">
        <v>1569</v>
      </c>
      <c r="P229" t="s">
        <v>1541</v>
      </c>
      <c r="Q229" t="s">
        <v>370</v>
      </c>
    </row>
    <row r="230" spans="1:17" ht="14.25" customHeight="1" x14ac:dyDescent="0.2">
      <c r="A230" s="578" t="s">
        <v>1461</v>
      </c>
      <c r="B230" s="110">
        <f t="shared" si="3"/>
        <v>3.62</v>
      </c>
      <c r="C230" s="575">
        <v>45974</v>
      </c>
      <c r="D230" s="569">
        <v>45978</v>
      </c>
      <c r="E230" s="569">
        <v>45978</v>
      </c>
      <c r="F230" t="s">
        <v>776</v>
      </c>
      <c r="G230" t="s">
        <v>370</v>
      </c>
      <c r="H230" t="s">
        <v>367</v>
      </c>
      <c r="I230" t="s">
        <v>368</v>
      </c>
      <c r="J230" t="s">
        <v>1398</v>
      </c>
      <c r="K230" t="s">
        <v>1399</v>
      </c>
      <c r="L230" t="s">
        <v>1400</v>
      </c>
      <c r="M230" t="s">
        <v>2236</v>
      </c>
      <c r="N230" t="s">
        <v>747</v>
      </c>
      <c r="O230" t="s">
        <v>2237</v>
      </c>
      <c r="P230" t="s">
        <v>2238</v>
      </c>
      <c r="Q230" t="s">
        <v>370</v>
      </c>
    </row>
    <row r="231" spans="1:17" ht="14.25" customHeight="1" x14ac:dyDescent="0.2">
      <c r="A231" s="578" t="s">
        <v>1461</v>
      </c>
      <c r="B231" s="110">
        <f t="shared" si="3"/>
        <v>3.64</v>
      </c>
      <c r="C231" s="575">
        <v>45974</v>
      </c>
      <c r="D231" s="569">
        <v>45978</v>
      </c>
      <c r="E231" s="569">
        <v>45978</v>
      </c>
      <c r="F231" t="s">
        <v>2239</v>
      </c>
      <c r="G231" t="s">
        <v>2240</v>
      </c>
      <c r="H231" t="s">
        <v>367</v>
      </c>
      <c r="I231" t="s">
        <v>368</v>
      </c>
      <c r="J231" t="s">
        <v>1398</v>
      </c>
      <c r="K231" t="s">
        <v>1417</v>
      </c>
      <c r="L231" t="s">
        <v>1418</v>
      </c>
      <c r="M231" t="s">
        <v>2241</v>
      </c>
      <c r="N231" t="s">
        <v>369</v>
      </c>
      <c r="O231" t="s">
        <v>2242</v>
      </c>
      <c r="P231" t="s">
        <v>2238</v>
      </c>
      <c r="Q231" t="s">
        <v>370</v>
      </c>
    </row>
    <row r="232" spans="1:17" ht="14.25" customHeight="1" x14ac:dyDescent="0.2">
      <c r="A232" s="578" t="s">
        <v>1462</v>
      </c>
      <c r="B232" s="110">
        <f t="shared" si="3"/>
        <v>5.59</v>
      </c>
      <c r="C232" s="575">
        <v>45974</v>
      </c>
      <c r="D232" s="569">
        <v>45978</v>
      </c>
      <c r="E232" s="569">
        <v>45978</v>
      </c>
      <c r="F232" t="s">
        <v>921</v>
      </c>
      <c r="G232" t="s">
        <v>370</v>
      </c>
      <c r="H232" t="s">
        <v>367</v>
      </c>
      <c r="I232" t="s">
        <v>368</v>
      </c>
      <c r="J232" t="s">
        <v>1412</v>
      </c>
      <c r="K232" t="s">
        <v>1413</v>
      </c>
      <c r="L232" t="s">
        <v>1414</v>
      </c>
      <c r="M232" t="s">
        <v>2243</v>
      </c>
      <c r="N232" t="s">
        <v>741</v>
      </c>
      <c r="O232" t="s">
        <v>2244</v>
      </c>
      <c r="P232" t="s">
        <v>2238</v>
      </c>
      <c r="Q232" t="s">
        <v>370</v>
      </c>
    </row>
    <row r="233" spans="1:17" ht="14.25" customHeight="1" x14ac:dyDescent="0.2">
      <c r="A233" s="578" t="s">
        <v>1461</v>
      </c>
      <c r="B233" s="110">
        <f t="shared" si="3"/>
        <v>3.64</v>
      </c>
      <c r="C233" s="575">
        <v>45974</v>
      </c>
      <c r="D233" s="569">
        <v>45978</v>
      </c>
      <c r="E233" s="569">
        <v>45978</v>
      </c>
      <c r="F233" t="s">
        <v>2245</v>
      </c>
      <c r="G233" t="s">
        <v>370</v>
      </c>
      <c r="H233" t="s">
        <v>367</v>
      </c>
      <c r="I233" t="s">
        <v>368</v>
      </c>
      <c r="J233" t="s">
        <v>1398</v>
      </c>
      <c r="K233" t="s">
        <v>1417</v>
      </c>
      <c r="L233" t="s">
        <v>1418</v>
      </c>
      <c r="M233" t="s">
        <v>2246</v>
      </c>
      <c r="N233" t="s">
        <v>741</v>
      </c>
      <c r="O233" t="s">
        <v>2247</v>
      </c>
      <c r="P233" t="s">
        <v>2238</v>
      </c>
      <c r="Q233" t="s">
        <v>370</v>
      </c>
    </row>
    <row r="234" spans="1:17" ht="14.25" customHeight="1" x14ac:dyDescent="0.2">
      <c r="A234" s="578" t="s">
        <v>1461</v>
      </c>
      <c r="B234" s="110">
        <f t="shared" si="3"/>
        <v>3.64</v>
      </c>
      <c r="C234" s="575">
        <v>45974</v>
      </c>
      <c r="D234" s="569">
        <v>45978</v>
      </c>
      <c r="E234" s="569">
        <v>45978</v>
      </c>
      <c r="F234" t="s">
        <v>2248</v>
      </c>
      <c r="G234" t="s">
        <v>370</v>
      </c>
      <c r="H234" t="s">
        <v>367</v>
      </c>
      <c r="I234" t="s">
        <v>368</v>
      </c>
      <c r="J234" t="s">
        <v>1398</v>
      </c>
      <c r="K234" t="s">
        <v>1417</v>
      </c>
      <c r="L234" t="s">
        <v>1418</v>
      </c>
      <c r="M234" t="s">
        <v>2249</v>
      </c>
      <c r="N234" t="s">
        <v>741</v>
      </c>
      <c r="O234" t="s">
        <v>2250</v>
      </c>
      <c r="P234" t="s">
        <v>2238</v>
      </c>
      <c r="Q234" t="s">
        <v>370</v>
      </c>
    </row>
    <row r="235" spans="1:17" ht="14.25" customHeight="1" x14ac:dyDescent="0.2">
      <c r="A235" s="578" t="s">
        <v>1461</v>
      </c>
      <c r="B235" s="110">
        <f t="shared" si="3"/>
        <v>3.62</v>
      </c>
      <c r="C235" s="575">
        <v>45974</v>
      </c>
      <c r="D235" s="569">
        <v>45978</v>
      </c>
      <c r="E235" s="569">
        <v>45978</v>
      </c>
      <c r="F235" t="s">
        <v>1708</v>
      </c>
      <c r="G235" t="s">
        <v>370</v>
      </c>
      <c r="H235" t="s">
        <v>367</v>
      </c>
      <c r="I235" t="s">
        <v>368</v>
      </c>
      <c r="J235" t="s">
        <v>1398</v>
      </c>
      <c r="K235" t="s">
        <v>1399</v>
      </c>
      <c r="L235" t="s">
        <v>1400</v>
      </c>
      <c r="M235" t="s">
        <v>2251</v>
      </c>
      <c r="N235" t="s">
        <v>747</v>
      </c>
      <c r="O235" t="s">
        <v>2252</v>
      </c>
      <c r="P235" t="s">
        <v>2238</v>
      </c>
      <c r="Q235" t="s">
        <v>370</v>
      </c>
    </row>
    <row r="236" spans="1:17" ht="14.25" customHeight="1" x14ac:dyDescent="0.2">
      <c r="A236" s="578" t="s">
        <v>1461</v>
      </c>
      <c r="B236" s="110">
        <f t="shared" si="3"/>
        <v>3.64</v>
      </c>
      <c r="C236" s="575">
        <v>45974</v>
      </c>
      <c r="D236" s="569">
        <v>45978</v>
      </c>
      <c r="E236" s="569">
        <v>45978</v>
      </c>
      <c r="F236" t="s">
        <v>1804</v>
      </c>
      <c r="G236" t="s">
        <v>370</v>
      </c>
      <c r="H236" t="s">
        <v>367</v>
      </c>
      <c r="I236" t="s">
        <v>368</v>
      </c>
      <c r="J236" t="s">
        <v>1398</v>
      </c>
      <c r="K236" t="s">
        <v>1417</v>
      </c>
      <c r="L236" t="s">
        <v>1418</v>
      </c>
      <c r="M236" t="s">
        <v>2253</v>
      </c>
      <c r="N236" t="s">
        <v>741</v>
      </c>
      <c r="O236" t="s">
        <v>2254</v>
      </c>
      <c r="P236" t="s">
        <v>2238</v>
      </c>
      <c r="Q236" t="s">
        <v>370</v>
      </c>
    </row>
    <row r="237" spans="1:17" ht="14.25" customHeight="1" x14ac:dyDescent="0.2">
      <c r="A237" s="578" t="s">
        <v>1461</v>
      </c>
      <c r="B237" s="110">
        <f t="shared" si="3"/>
        <v>3.64</v>
      </c>
      <c r="C237" s="575">
        <v>45974</v>
      </c>
      <c r="D237" s="569">
        <v>45978</v>
      </c>
      <c r="E237" s="569">
        <v>45978</v>
      </c>
      <c r="F237" t="s">
        <v>880</v>
      </c>
      <c r="G237" t="s">
        <v>370</v>
      </c>
      <c r="H237" t="s">
        <v>367</v>
      </c>
      <c r="I237" t="s">
        <v>368</v>
      </c>
      <c r="J237" t="s">
        <v>1398</v>
      </c>
      <c r="K237" t="s">
        <v>1417</v>
      </c>
      <c r="L237" t="s">
        <v>1418</v>
      </c>
      <c r="M237" t="s">
        <v>2255</v>
      </c>
      <c r="N237" t="s">
        <v>741</v>
      </c>
      <c r="O237" t="s">
        <v>2256</v>
      </c>
      <c r="P237" t="s">
        <v>2238</v>
      </c>
      <c r="Q237" t="s">
        <v>370</v>
      </c>
    </row>
    <row r="238" spans="1:17" ht="14.25" customHeight="1" x14ac:dyDescent="0.2">
      <c r="A238" s="578" t="s">
        <v>1461</v>
      </c>
      <c r="B238" s="110">
        <f t="shared" si="3"/>
        <v>3.62</v>
      </c>
      <c r="C238" s="575">
        <v>45974</v>
      </c>
      <c r="D238" s="569">
        <v>45978</v>
      </c>
      <c r="E238" s="569">
        <v>45978</v>
      </c>
      <c r="F238" t="s">
        <v>989</v>
      </c>
      <c r="G238" t="s">
        <v>370</v>
      </c>
      <c r="H238" t="s">
        <v>367</v>
      </c>
      <c r="I238" t="s">
        <v>368</v>
      </c>
      <c r="J238" t="s">
        <v>1398</v>
      </c>
      <c r="K238" t="s">
        <v>1399</v>
      </c>
      <c r="L238" t="s">
        <v>1400</v>
      </c>
      <c r="M238" t="s">
        <v>2257</v>
      </c>
      <c r="N238" t="s">
        <v>747</v>
      </c>
      <c r="O238" t="s">
        <v>2258</v>
      </c>
      <c r="P238" t="s">
        <v>2238</v>
      </c>
      <c r="Q238" t="s">
        <v>370</v>
      </c>
    </row>
    <row r="239" spans="1:17" ht="14.25" customHeight="1" x14ac:dyDescent="0.2">
      <c r="A239" s="578" t="s">
        <v>1461</v>
      </c>
      <c r="B239" s="110">
        <f t="shared" si="3"/>
        <v>11.47</v>
      </c>
      <c r="C239" s="575">
        <v>45975</v>
      </c>
      <c r="D239" s="569">
        <v>45979</v>
      </c>
      <c r="E239" s="569">
        <v>45979</v>
      </c>
      <c r="F239" t="s">
        <v>1301</v>
      </c>
      <c r="G239" t="s">
        <v>370</v>
      </c>
      <c r="H239" t="s">
        <v>367</v>
      </c>
      <c r="I239" t="s">
        <v>368</v>
      </c>
      <c r="J239" t="s">
        <v>2259</v>
      </c>
      <c r="K239" t="s">
        <v>2260</v>
      </c>
      <c r="L239" t="s">
        <v>2261</v>
      </c>
      <c r="M239" t="s">
        <v>2262</v>
      </c>
      <c r="N239" t="s">
        <v>741</v>
      </c>
      <c r="O239" t="s">
        <v>2263</v>
      </c>
      <c r="P239" t="s">
        <v>2264</v>
      </c>
      <c r="Q239" t="s">
        <v>370</v>
      </c>
    </row>
    <row r="240" spans="1:17" ht="14.25" customHeight="1" x14ac:dyDescent="0.2">
      <c r="A240" s="578" t="s">
        <v>1461</v>
      </c>
      <c r="B240" s="110">
        <f t="shared" si="3"/>
        <v>3.64</v>
      </c>
      <c r="C240" s="575">
        <v>45975</v>
      </c>
      <c r="D240" s="569">
        <v>45979</v>
      </c>
      <c r="E240" s="569">
        <v>45979</v>
      </c>
      <c r="F240" t="s">
        <v>1262</v>
      </c>
      <c r="G240" t="s">
        <v>1262</v>
      </c>
      <c r="H240" t="s">
        <v>367</v>
      </c>
      <c r="I240" t="s">
        <v>368</v>
      </c>
      <c r="J240" t="s">
        <v>1398</v>
      </c>
      <c r="K240" t="s">
        <v>1417</v>
      </c>
      <c r="L240" t="s">
        <v>1418</v>
      </c>
      <c r="M240" t="s">
        <v>2265</v>
      </c>
      <c r="N240" t="s">
        <v>369</v>
      </c>
      <c r="O240" t="s">
        <v>2266</v>
      </c>
      <c r="P240" t="s">
        <v>2264</v>
      </c>
      <c r="Q240" t="s">
        <v>370</v>
      </c>
    </row>
    <row r="241" spans="1:17" ht="14.25" customHeight="1" x14ac:dyDescent="0.2">
      <c r="A241" s="578" t="s">
        <v>1461</v>
      </c>
      <c r="B241" s="110">
        <f t="shared" si="3"/>
        <v>3.64</v>
      </c>
      <c r="C241" s="575">
        <v>45975</v>
      </c>
      <c r="D241" s="569">
        <v>45979</v>
      </c>
      <c r="E241" s="569">
        <v>45979</v>
      </c>
      <c r="F241" t="s">
        <v>2267</v>
      </c>
      <c r="G241" t="s">
        <v>370</v>
      </c>
      <c r="H241" t="s">
        <v>367</v>
      </c>
      <c r="I241" t="s">
        <v>368</v>
      </c>
      <c r="J241" t="s">
        <v>1398</v>
      </c>
      <c r="K241" t="s">
        <v>1417</v>
      </c>
      <c r="L241" t="s">
        <v>1418</v>
      </c>
      <c r="M241" t="s">
        <v>2268</v>
      </c>
      <c r="N241" t="s">
        <v>781</v>
      </c>
      <c r="O241" t="s">
        <v>2269</v>
      </c>
      <c r="P241" t="s">
        <v>2264</v>
      </c>
      <c r="Q241" t="s">
        <v>370</v>
      </c>
    </row>
    <row r="242" spans="1:17" ht="14.25" customHeight="1" x14ac:dyDescent="0.2">
      <c r="A242" s="578" t="s">
        <v>1462</v>
      </c>
      <c r="B242" s="110">
        <f t="shared" si="3"/>
        <v>5.55</v>
      </c>
      <c r="C242" s="575">
        <v>45975</v>
      </c>
      <c r="D242" s="569">
        <v>45979</v>
      </c>
      <c r="E242" s="569">
        <v>45979</v>
      </c>
      <c r="F242" t="s">
        <v>2270</v>
      </c>
      <c r="G242" t="s">
        <v>370</v>
      </c>
      <c r="H242" t="s">
        <v>367</v>
      </c>
      <c r="I242" t="s">
        <v>368</v>
      </c>
      <c r="J242" t="s">
        <v>1412</v>
      </c>
      <c r="K242" t="s">
        <v>1545</v>
      </c>
      <c r="L242" t="s">
        <v>1546</v>
      </c>
      <c r="M242" t="s">
        <v>2271</v>
      </c>
      <c r="N242" t="s">
        <v>747</v>
      </c>
      <c r="O242" t="s">
        <v>2272</v>
      </c>
      <c r="P242" t="s">
        <v>2264</v>
      </c>
      <c r="Q242" t="s">
        <v>370</v>
      </c>
    </row>
    <row r="243" spans="1:17" ht="14.25" customHeight="1" x14ac:dyDescent="0.2">
      <c r="A243" s="578" t="s">
        <v>1462</v>
      </c>
      <c r="B243" s="110">
        <f t="shared" si="3"/>
        <v>5.55</v>
      </c>
      <c r="C243" s="575">
        <v>45976</v>
      </c>
      <c r="D243" s="569">
        <v>45979</v>
      </c>
      <c r="E243" s="569">
        <v>45979</v>
      </c>
      <c r="F243" t="s">
        <v>2022</v>
      </c>
      <c r="G243" t="s">
        <v>370</v>
      </c>
      <c r="H243" t="s">
        <v>367</v>
      </c>
      <c r="I243" t="s">
        <v>368</v>
      </c>
      <c r="J243" t="s">
        <v>1412</v>
      </c>
      <c r="K243" t="s">
        <v>1545</v>
      </c>
      <c r="L243" t="s">
        <v>1546</v>
      </c>
      <c r="M243" t="s">
        <v>2273</v>
      </c>
      <c r="N243" t="s">
        <v>747</v>
      </c>
      <c r="O243" t="s">
        <v>2274</v>
      </c>
      <c r="P243" t="s">
        <v>2264</v>
      </c>
      <c r="Q243" t="s">
        <v>370</v>
      </c>
    </row>
    <row r="244" spans="1:17" ht="14.25" customHeight="1" x14ac:dyDescent="0.2">
      <c r="A244" s="578" t="s">
        <v>1462</v>
      </c>
      <c r="B244" s="110">
        <f t="shared" si="3"/>
        <v>5.55</v>
      </c>
      <c r="C244" s="575">
        <v>45976</v>
      </c>
      <c r="D244" s="569">
        <v>45979</v>
      </c>
      <c r="E244" s="569">
        <v>45979</v>
      </c>
      <c r="F244" t="s">
        <v>2025</v>
      </c>
      <c r="G244" t="s">
        <v>370</v>
      </c>
      <c r="H244" t="s">
        <v>367</v>
      </c>
      <c r="I244" t="s">
        <v>368</v>
      </c>
      <c r="J244" t="s">
        <v>1412</v>
      </c>
      <c r="K244" t="s">
        <v>1545</v>
      </c>
      <c r="L244" t="s">
        <v>1546</v>
      </c>
      <c r="M244" t="s">
        <v>2275</v>
      </c>
      <c r="N244" t="s">
        <v>747</v>
      </c>
      <c r="O244" t="s">
        <v>2276</v>
      </c>
      <c r="P244" t="s">
        <v>2264</v>
      </c>
      <c r="Q244" t="s">
        <v>370</v>
      </c>
    </row>
    <row r="245" spans="1:17" ht="14.25" customHeight="1" x14ac:dyDescent="0.2">
      <c r="A245" s="578" t="s">
        <v>1461</v>
      </c>
      <c r="B245" s="110">
        <f t="shared" si="3"/>
        <v>3.62</v>
      </c>
      <c r="C245" s="575">
        <v>45976</v>
      </c>
      <c r="D245" s="569">
        <v>45979</v>
      </c>
      <c r="E245" s="569">
        <v>45979</v>
      </c>
      <c r="F245" t="s">
        <v>835</v>
      </c>
      <c r="G245" t="s">
        <v>370</v>
      </c>
      <c r="H245" t="s">
        <v>367</v>
      </c>
      <c r="I245" t="s">
        <v>368</v>
      </c>
      <c r="J245" t="s">
        <v>1398</v>
      </c>
      <c r="K245" t="s">
        <v>1399</v>
      </c>
      <c r="L245" t="s">
        <v>1400</v>
      </c>
      <c r="M245" t="s">
        <v>2277</v>
      </c>
      <c r="N245" t="s">
        <v>747</v>
      </c>
      <c r="O245" t="s">
        <v>2278</v>
      </c>
      <c r="P245" t="s">
        <v>2264</v>
      </c>
      <c r="Q245" t="s">
        <v>370</v>
      </c>
    </row>
    <row r="246" spans="1:17" ht="14.25" customHeight="1" x14ac:dyDescent="0.2">
      <c r="A246" s="578" t="s">
        <v>1461</v>
      </c>
      <c r="B246" s="110">
        <f t="shared" si="3"/>
        <v>3.64</v>
      </c>
      <c r="C246" s="575">
        <v>45976</v>
      </c>
      <c r="D246" s="569">
        <v>45979</v>
      </c>
      <c r="E246" s="569">
        <v>45979</v>
      </c>
      <c r="F246" t="s">
        <v>1608</v>
      </c>
      <c r="G246" t="s">
        <v>1608</v>
      </c>
      <c r="H246" t="s">
        <v>367</v>
      </c>
      <c r="I246" t="s">
        <v>368</v>
      </c>
      <c r="J246" t="s">
        <v>1398</v>
      </c>
      <c r="K246" t="s">
        <v>1417</v>
      </c>
      <c r="L246" t="s">
        <v>1418</v>
      </c>
      <c r="M246" t="s">
        <v>2279</v>
      </c>
      <c r="N246" t="s">
        <v>369</v>
      </c>
      <c r="O246" t="s">
        <v>2280</v>
      </c>
      <c r="P246" t="s">
        <v>2264</v>
      </c>
      <c r="Q246" t="s">
        <v>370</v>
      </c>
    </row>
    <row r="247" spans="1:17" ht="14.25" customHeight="1" x14ac:dyDescent="0.2">
      <c r="A247" s="578" t="s">
        <v>1461</v>
      </c>
      <c r="B247" s="110">
        <f t="shared" si="3"/>
        <v>3.62</v>
      </c>
      <c r="C247" s="575">
        <v>45977</v>
      </c>
      <c r="D247" s="569">
        <v>45979</v>
      </c>
      <c r="E247" s="569">
        <v>45979</v>
      </c>
      <c r="F247" t="s">
        <v>1579</v>
      </c>
      <c r="G247" t="s">
        <v>370</v>
      </c>
      <c r="H247" t="s">
        <v>367</v>
      </c>
      <c r="I247" t="s">
        <v>368</v>
      </c>
      <c r="J247" t="s">
        <v>1398</v>
      </c>
      <c r="K247" t="s">
        <v>1399</v>
      </c>
      <c r="L247" t="s">
        <v>1400</v>
      </c>
      <c r="M247" s="574" t="s">
        <v>2281</v>
      </c>
      <c r="N247" t="s">
        <v>747</v>
      </c>
      <c r="O247" t="s">
        <v>2282</v>
      </c>
      <c r="P247" t="s">
        <v>2264</v>
      </c>
      <c r="Q247" t="s">
        <v>370</v>
      </c>
    </row>
    <row r="248" spans="1:17" ht="14.25" customHeight="1" x14ac:dyDescent="0.2">
      <c r="A248" s="578" t="s">
        <v>1461</v>
      </c>
      <c r="B248" s="110">
        <f t="shared" si="3"/>
        <v>3.64</v>
      </c>
      <c r="C248" s="575">
        <v>45977</v>
      </c>
      <c r="D248" s="569">
        <v>45979</v>
      </c>
      <c r="E248" s="569">
        <v>45979</v>
      </c>
      <c r="F248" t="s">
        <v>1256</v>
      </c>
      <c r="G248" t="s">
        <v>370</v>
      </c>
      <c r="H248" t="s">
        <v>367</v>
      </c>
      <c r="I248" t="s">
        <v>368</v>
      </c>
      <c r="J248" t="s">
        <v>1398</v>
      </c>
      <c r="K248" t="s">
        <v>1417</v>
      </c>
      <c r="L248" t="s">
        <v>1418</v>
      </c>
      <c r="M248" t="s">
        <v>2283</v>
      </c>
      <c r="N248" t="s">
        <v>741</v>
      </c>
      <c r="O248" t="s">
        <v>2284</v>
      </c>
      <c r="P248" t="s">
        <v>2264</v>
      </c>
      <c r="Q248" t="s">
        <v>370</v>
      </c>
    </row>
    <row r="249" spans="1:17" ht="14.25" customHeight="1" x14ac:dyDescent="0.2">
      <c r="A249" s="578" t="s">
        <v>1461</v>
      </c>
      <c r="B249" s="110">
        <f t="shared" si="3"/>
        <v>3.62</v>
      </c>
      <c r="C249" s="575">
        <v>45978</v>
      </c>
      <c r="D249" s="569">
        <v>45979</v>
      </c>
      <c r="E249" s="569">
        <v>45979</v>
      </c>
      <c r="F249" t="s">
        <v>810</v>
      </c>
      <c r="G249" t="s">
        <v>370</v>
      </c>
      <c r="H249" t="s">
        <v>367</v>
      </c>
      <c r="I249" t="s">
        <v>368</v>
      </c>
      <c r="J249" t="s">
        <v>1398</v>
      </c>
      <c r="K249" t="s">
        <v>1399</v>
      </c>
      <c r="L249" t="s">
        <v>1400</v>
      </c>
      <c r="M249" t="s">
        <v>2285</v>
      </c>
      <c r="N249" t="s">
        <v>747</v>
      </c>
      <c r="O249" t="s">
        <v>2286</v>
      </c>
      <c r="P249" t="s">
        <v>2264</v>
      </c>
      <c r="Q249" t="s">
        <v>370</v>
      </c>
    </row>
    <row r="250" spans="1:17" ht="14.25" customHeight="1" x14ac:dyDescent="0.2">
      <c r="A250" s="584" t="s">
        <v>2447</v>
      </c>
      <c r="B250" s="110">
        <f t="shared" si="3"/>
        <v>9.51</v>
      </c>
      <c r="C250" s="575">
        <v>45978</v>
      </c>
      <c r="D250" s="569">
        <v>45980</v>
      </c>
      <c r="E250" s="569">
        <v>45980</v>
      </c>
      <c r="F250" t="s">
        <v>2287</v>
      </c>
      <c r="G250" t="s">
        <v>370</v>
      </c>
      <c r="H250" t="s">
        <v>367</v>
      </c>
      <c r="I250" t="s">
        <v>368</v>
      </c>
      <c r="J250" t="s">
        <v>2288</v>
      </c>
      <c r="K250" t="s">
        <v>2289</v>
      </c>
      <c r="L250" t="s">
        <v>2290</v>
      </c>
      <c r="M250" t="s">
        <v>2291</v>
      </c>
      <c r="N250" t="s">
        <v>741</v>
      </c>
      <c r="O250" t="s">
        <v>2292</v>
      </c>
      <c r="P250" t="s">
        <v>2293</v>
      </c>
      <c r="Q250" t="s">
        <v>370</v>
      </c>
    </row>
    <row r="251" spans="1:17" ht="14.25" customHeight="1" x14ac:dyDescent="0.2">
      <c r="A251" s="584" t="s">
        <v>2447</v>
      </c>
      <c r="B251" s="110">
        <f t="shared" si="3"/>
        <v>9.51</v>
      </c>
      <c r="C251" s="575">
        <v>45978</v>
      </c>
      <c r="D251" s="569">
        <v>45980</v>
      </c>
      <c r="E251" s="569">
        <v>45980</v>
      </c>
      <c r="F251" t="s">
        <v>2294</v>
      </c>
      <c r="G251" t="s">
        <v>370</v>
      </c>
      <c r="H251" t="s">
        <v>367</v>
      </c>
      <c r="I251" t="s">
        <v>368</v>
      </c>
      <c r="J251" t="s">
        <v>2288</v>
      </c>
      <c r="K251" t="s">
        <v>2289</v>
      </c>
      <c r="L251" t="s">
        <v>2290</v>
      </c>
      <c r="M251" t="s">
        <v>2295</v>
      </c>
      <c r="N251" t="s">
        <v>741</v>
      </c>
      <c r="O251" t="s">
        <v>2296</v>
      </c>
      <c r="P251" t="s">
        <v>2293</v>
      </c>
      <c r="Q251" t="s">
        <v>370</v>
      </c>
    </row>
    <row r="252" spans="1:17" ht="14.25" customHeight="1" x14ac:dyDescent="0.2">
      <c r="A252" s="584" t="s">
        <v>2447</v>
      </c>
      <c r="B252" s="110">
        <f t="shared" si="3"/>
        <v>9.51</v>
      </c>
      <c r="C252" s="575">
        <v>45978</v>
      </c>
      <c r="D252" s="569">
        <v>45980</v>
      </c>
      <c r="E252" s="569">
        <v>45980</v>
      </c>
      <c r="F252" t="s">
        <v>749</v>
      </c>
      <c r="G252" t="s">
        <v>370</v>
      </c>
      <c r="H252" t="s">
        <v>367</v>
      </c>
      <c r="I252" t="s">
        <v>368</v>
      </c>
      <c r="J252" t="s">
        <v>2288</v>
      </c>
      <c r="K252" t="s">
        <v>2289</v>
      </c>
      <c r="L252" t="s">
        <v>2290</v>
      </c>
      <c r="M252" t="s">
        <v>2297</v>
      </c>
      <c r="N252" t="s">
        <v>741</v>
      </c>
      <c r="O252" t="s">
        <v>2298</v>
      </c>
      <c r="P252" t="s">
        <v>2293</v>
      </c>
      <c r="Q252" t="s">
        <v>370</v>
      </c>
    </row>
    <row r="253" spans="1:17" ht="14.25" customHeight="1" x14ac:dyDescent="0.2">
      <c r="A253" s="584" t="s">
        <v>2447</v>
      </c>
      <c r="B253" s="110">
        <f t="shared" si="3"/>
        <v>9.51</v>
      </c>
      <c r="C253" s="575">
        <v>45978</v>
      </c>
      <c r="D253" s="569">
        <v>45980</v>
      </c>
      <c r="E253" s="569">
        <v>45980</v>
      </c>
      <c r="F253" t="s">
        <v>2299</v>
      </c>
      <c r="G253" t="s">
        <v>2300</v>
      </c>
      <c r="H253" t="s">
        <v>367</v>
      </c>
      <c r="I253" t="s">
        <v>368</v>
      </c>
      <c r="J253" t="s">
        <v>2288</v>
      </c>
      <c r="K253" t="s">
        <v>2289</v>
      </c>
      <c r="L253" t="s">
        <v>2290</v>
      </c>
      <c r="M253" t="s">
        <v>2301</v>
      </c>
      <c r="N253" t="s">
        <v>369</v>
      </c>
      <c r="O253" t="s">
        <v>2302</v>
      </c>
      <c r="P253" t="s">
        <v>2293</v>
      </c>
      <c r="Q253" t="s">
        <v>370</v>
      </c>
    </row>
    <row r="254" spans="1:17" ht="14.25" customHeight="1" x14ac:dyDescent="0.2">
      <c r="A254" s="584" t="s">
        <v>2447</v>
      </c>
      <c r="B254" s="110">
        <f t="shared" si="3"/>
        <v>9.51</v>
      </c>
      <c r="C254" s="575">
        <v>45978</v>
      </c>
      <c r="D254" s="569">
        <v>45980</v>
      </c>
      <c r="E254" s="569">
        <v>45980</v>
      </c>
      <c r="F254" t="s">
        <v>868</v>
      </c>
      <c r="G254" t="s">
        <v>370</v>
      </c>
      <c r="H254" t="s">
        <v>367</v>
      </c>
      <c r="I254" t="s">
        <v>368</v>
      </c>
      <c r="J254" t="s">
        <v>2288</v>
      </c>
      <c r="K254" t="s">
        <v>2289</v>
      </c>
      <c r="L254" t="s">
        <v>2290</v>
      </c>
      <c r="M254" t="s">
        <v>2303</v>
      </c>
      <c r="N254" t="s">
        <v>741</v>
      </c>
      <c r="O254" t="s">
        <v>2304</v>
      </c>
      <c r="P254" t="s">
        <v>2293</v>
      </c>
      <c r="Q254" t="s">
        <v>370</v>
      </c>
    </row>
    <row r="255" spans="1:17" ht="14.25" customHeight="1" x14ac:dyDescent="0.2">
      <c r="A255" s="584" t="s">
        <v>2447</v>
      </c>
      <c r="B255" s="110">
        <f t="shared" si="3"/>
        <v>9.51</v>
      </c>
      <c r="C255" s="575">
        <v>45978</v>
      </c>
      <c r="D255" s="569">
        <v>45980</v>
      </c>
      <c r="E255" s="569">
        <v>45980</v>
      </c>
      <c r="F255" t="s">
        <v>2305</v>
      </c>
      <c r="G255" t="s">
        <v>370</v>
      </c>
      <c r="H255" t="s">
        <v>367</v>
      </c>
      <c r="I255" t="s">
        <v>368</v>
      </c>
      <c r="J255" t="s">
        <v>2288</v>
      </c>
      <c r="K255" t="s">
        <v>2289</v>
      </c>
      <c r="L255" t="s">
        <v>2290</v>
      </c>
      <c r="M255" t="s">
        <v>2306</v>
      </c>
      <c r="N255" t="s">
        <v>741</v>
      </c>
      <c r="O255" t="s">
        <v>2307</v>
      </c>
      <c r="P255" t="s">
        <v>2293</v>
      </c>
      <c r="Q255" t="s">
        <v>370</v>
      </c>
    </row>
    <row r="256" spans="1:17" ht="14.25" customHeight="1" x14ac:dyDescent="0.2">
      <c r="A256" s="584" t="s">
        <v>2447</v>
      </c>
      <c r="B256" s="110">
        <f t="shared" si="3"/>
        <v>9.51</v>
      </c>
      <c r="C256" s="575">
        <v>45978</v>
      </c>
      <c r="D256" s="569">
        <v>45980</v>
      </c>
      <c r="E256" s="569">
        <v>45980</v>
      </c>
      <c r="F256" t="s">
        <v>2308</v>
      </c>
      <c r="G256" t="s">
        <v>2308</v>
      </c>
      <c r="H256" t="s">
        <v>367</v>
      </c>
      <c r="I256" t="s">
        <v>368</v>
      </c>
      <c r="J256" t="s">
        <v>2288</v>
      </c>
      <c r="K256" t="s">
        <v>2289</v>
      </c>
      <c r="L256" t="s">
        <v>2290</v>
      </c>
      <c r="M256" t="s">
        <v>2309</v>
      </c>
      <c r="N256" t="s">
        <v>369</v>
      </c>
      <c r="O256" t="s">
        <v>2310</v>
      </c>
      <c r="P256" t="s">
        <v>2293</v>
      </c>
      <c r="Q256" t="s">
        <v>370</v>
      </c>
    </row>
    <row r="257" spans="1:17" ht="14.25" customHeight="1" x14ac:dyDescent="0.2">
      <c r="A257" s="578" t="s">
        <v>1461</v>
      </c>
      <c r="B257" s="110">
        <f t="shared" si="3"/>
        <v>3.62</v>
      </c>
      <c r="C257" s="575">
        <v>45978</v>
      </c>
      <c r="D257" s="569">
        <v>45980</v>
      </c>
      <c r="E257" s="569">
        <v>45980</v>
      </c>
      <c r="F257" t="s">
        <v>1796</v>
      </c>
      <c r="G257" t="s">
        <v>370</v>
      </c>
      <c r="H257" t="s">
        <v>367</v>
      </c>
      <c r="I257" t="s">
        <v>368</v>
      </c>
      <c r="J257" t="s">
        <v>1776</v>
      </c>
      <c r="K257" t="s">
        <v>1417</v>
      </c>
      <c r="L257" t="s">
        <v>1400</v>
      </c>
      <c r="M257" t="s">
        <v>2311</v>
      </c>
      <c r="N257" t="s">
        <v>741</v>
      </c>
      <c r="O257" t="s">
        <v>2312</v>
      </c>
      <c r="P257" t="s">
        <v>2293</v>
      </c>
      <c r="Q257" t="s">
        <v>370</v>
      </c>
    </row>
    <row r="258" spans="1:17" ht="14.25" customHeight="1" x14ac:dyDescent="0.2">
      <c r="A258" s="578" t="s">
        <v>1462</v>
      </c>
      <c r="B258" s="110">
        <f t="shared" si="3"/>
        <v>5.59</v>
      </c>
      <c r="C258" s="575">
        <v>45978</v>
      </c>
      <c r="D258" s="569">
        <v>45980</v>
      </c>
      <c r="E258" s="569">
        <v>45980</v>
      </c>
      <c r="F258" t="s">
        <v>1750</v>
      </c>
      <c r="G258" t="s">
        <v>370</v>
      </c>
      <c r="H258" t="s">
        <v>367</v>
      </c>
      <c r="I258" t="s">
        <v>368</v>
      </c>
      <c r="J258" t="s">
        <v>1412</v>
      </c>
      <c r="K258" t="s">
        <v>1413</v>
      </c>
      <c r="L258" t="s">
        <v>1414</v>
      </c>
      <c r="M258" t="s">
        <v>2313</v>
      </c>
      <c r="N258" t="s">
        <v>741</v>
      </c>
      <c r="O258" t="s">
        <v>2314</v>
      </c>
      <c r="P258" t="s">
        <v>2293</v>
      </c>
      <c r="Q258" t="s">
        <v>370</v>
      </c>
    </row>
    <row r="259" spans="1:17" ht="14.25" customHeight="1" x14ac:dyDescent="0.2">
      <c r="A259" s="584" t="s">
        <v>2447</v>
      </c>
      <c r="B259" s="110">
        <f t="shared" si="3"/>
        <v>9.51</v>
      </c>
      <c r="C259" s="575">
        <v>45978</v>
      </c>
      <c r="D259" s="569">
        <v>45980</v>
      </c>
      <c r="E259" s="569">
        <v>45980</v>
      </c>
      <c r="F259" t="s">
        <v>2315</v>
      </c>
      <c r="G259" t="s">
        <v>2315</v>
      </c>
      <c r="H259" t="s">
        <v>367</v>
      </c>
      <c r="I259" t="s">
        <v>368</v>
      </c>
      <c r="J259" t="s">
        <v>2288</v>
      </c>
      <c r="K259" t="s">
        <v>2289</v>
      </c>
      <c r="L259" t="s">
        <v>2290</v>
      </c>
      <c r="M259" t="s">
        <v>2316</v>
      </c>
      <c r="N259" t="s">
        <v>369</v>
      </c>
      <c r="O259" t="s">
        <v>2317</v>
      </c>
      <c r="P259" t="s">
        <v>2293</v>
      </c>
      <c r="Q259" t="s">
        <v>370</v>
      </c>
    </row>
    <row r="260" spans="1:17" ht="14.25" customHeight="1" x14ac:dyDescent="0.2">
      <c r="A260" s="578" t="s">
        <v>2448</v>
      </c>
      <c r="B260" s="110">
        <f t="shared" si="3"/>
        <v>12.370000000000001</v>
      </c>
      <c r="C260" s="575">
        <v>45978</v>
      </c>
      <c r="D260" s="569">
        <v>45980</v>
      </c>
      <c r="E260" s="569">
        <v>45980</v>
      </c>
      <c r="F260" t="s">
        <v>2318</v>
      </c>
      <c r="G260" t="s">
        <v>370</v>
      </c>
      <c r="H260" t="s">
        <v>367</v>
      </c>
      <c r="I260" t="s">
        <v>368</v>
      </c>
      <c r="J260" t="s">
        <v>2319</v>
      </c>
      <c r="K260" t="s">
        <v>2320</v>
      </c>
      <c r="L260" t="s">
        <v>2321</v>
      </c>
      <c r="M260" t="s">
        <v>2322</v>
      </c>
      <c r="N260" t="s">
        <v>747</v>
      </c>
      <c r="O260" t="s">
        <v>2323</v>
      </c>
      <c r="P260" t="s">
        <v>2293</v>
      </c>
      <c r="Q260" t="s">
        <v>370</v>
      </c>
    </row>
    <row r="261" spans="1:17" ht="14.25" customHeight="1" x14ac:dyDescent="0.2">
      <c r="A261" s="578" t="s">
        <v>2448</v>
      </c>
      <c r="B261" s="110">
        <f t="shared" si="3"/>
        <v>12.450000000000001</v>
      </c>
      <c r="C261" s="575">
        <v>45978</v>
      </c>
      <c r="D261" s="569">
        <v>45980</v>
      </c>
      <c r="E261" s="569">
        <v>45980</v>
      </c>
      <c r="F261" t="s">
        <v>1971</v>
      </c>
      <c r="G261" t="s">
        <v>2324</v>
      </c>
      <c r="H261" t="s">
        <v>367</v>
      </c>
      <c r="I261" t="s">
        <v>368</v>
      </c>
      <c r="J261" t="s">
        <v>2319</v>
      </c>
      <c r="K261" t="s">
        <v>2325</v>
      </c>
      <c r="L261" t="s">
        <v>2326</v>
      </c>
      <c r="M261" t="s">
        <v>2327</v>
      </c>
      <c r="N261" t="s">
        <v>369</v>
      </c>
      <c r="O261" t="s">
        <v>2328</v>
      </c>
      <c r="P261" t="s">
        <v>2293</v>
      </c>
      <c r="Q261" t="s">
        <v>370</v>
      </c>
    </row>
    <row r="262" spans="1:17" ht="14.25" customHeight="1" x14ac:dyDescent="0.2">
      <c r="A262" s="578" t="s">
        <v>2448</v>
      </c>
      <c r="B262" s="110">
        <f t="shared" si="3"/>
        <v>12.370000000000001</v>
      </c>
      <c r="C262" s="575">
        <v>45978</v>
      </c>
      <c r="D262" s="569">
        <v>45980</v>
      </c>
      <c r="E262" s="569">
        <v>45980</v>
      </c>
      <c r="F262" t="s">
        <v>862</v>
      </c>
      <c r="G262" t="s">
        <v>370</v>
      </c>
      <c r="H262" t="s">
        <v>367</v>
      </c>
      <c r="I262" t="s">
        <v>368</v>
      </c>
      <c r="J262" t="s">
        <v>2319</v>
      </c>
      <c r="K262" t="s">
        <v>2320</v>
      </c>
      <c r="L262" t="s">
        <v>2321</v>
      </c>
      <c r="M262" t="s">
        <v>2329</v>
      </c>
      <c r="N262" t="s">
        <v>747</v>
      </c>
      <c r="O262" t="s">
        <v>2330</v>
      </c>
      <c r="P262" t="s">
        <v>2293</v>
      </c>
      <c r="Q262" t="s">
        <v>370</v>
      </c>
    </row>
    <row r="263" spans="1:17" ht="14.25" customHeight="1" x14ac:dyDescent="0.2">
      <c r="A263" s="578" t="s">
        <v>1461</v>
      </c>
      <c r="B263" s="110">
        <f t="shared" si="3"/>
        <v>3.62</v>
      </c>
      <c r="C263" s="575">
        <v>45978</v>
      </c>
      <c r="D263" s="569">
        <v>45980</v>
      </c>
      <c r="E263" s="569">
        <v>45980</v>
      </c>
      <c r="F263" t="s">
        <v>797</v>
      </c>
      <c r="G263" t="s">
        <v>370</v>
      </c>
      <c r="H263" t="s">
        <v>367</v>
      </c>
      <c r="I263" t="s">
        <v>368</v>
      </c>
      <c r="J263" t="s">
        <v>1776</v>
      </c>
      <c r="K263" t="s">
        <v>1417</v>
      </c>
      <c r="L263" t="s">
        <v>1400</v>
      </c>
      <c r="M263" t="s">
        <v>2331</v>
      </c>
      <c r="N263" t="s">
        <v>741</v>
      </c>
      <c r="O263" t="s">
        <v>2332</v>
      </c>
      <c r="P263" t="s">
        <v>2293</v>
      </c>
      <c r="Q263" t="s">
        <v>370</v>
      </c>
    </row>
    <row r="264" spans="1:17" ht="14.25" customHeight="1" x14ac:dyDescent="0.2">
      <c r="A264" s="584" t="s">
        <v>2447</v>
      </c>
      <c r="B264" s="110">
        <f t="shared" si="3"/>
        <v>9.51</v>
      </c>
      <c r="C264" s="575">
        <v>45978</v>
      </c>
      <c r="D264" s="569">
        <v>45980</v>
      </c>
      <c r="E264" s="569">
        <v>45980</v>
      </c>
      <c r="F264" t="s">
        <v>2333</v>
      </c>
      <c r="G264" t="s">
        <v>370</v>
      </c>
      <c r="H264" t="s">
        <v>367</v>
      </c>
      <c r="I264" t="s">
        <v>368</v>
      </c>
      <c r="J264" t="s">
        <v>2288</v>
      </c>
      <c r="K264" t="s">
        <v>2289</v>
      </c>
      <c r="L264" t="s">
        <v>2290</v>
      </c>
      <c r="M264" t="s">
        <v>2334</v>
      </c>
      <c r="N264" t="s">
        <v>741</v>
      </c>
      <c r="O264" t="s">
        <v>2335</v>
      </c>
      <c r="P264" t="s">
        <v>2293</v>
      </c>
      <c r="Q264" t="s">
        <v>370</v>
      </c>
    </row>
    <row r="265" spans="1:17" ht="14.25" customHeight="1" x14ac:dyDescent="0.2">
      <c r="A265" s="578" t="s">
        <v>2448</v>
      </c>
      <c r="B265" s="110">
        <f t="shared" si="3"/>
        <v>12.450000000000001</v>
      </c>
      <c r="C265" s="575">
        <v>45978</v>
      </c>
      <c r="D265" s="569">
        <v>45980</v>
      </c>
      <c r="E265" s="569">
        <v>45980</v>
      </c>
      <c r="F265" t="s">
        <v>1962</v>
      </c>
      <c r="G265" t="s">
        <v>1962</v>
      </c>
      <c r="H265" t="s">
        <v>367</v>
      </c>
      <c r="I265" t="s">
        <v>368</v>
      </c>
      <c r="J265" t="s">
        <v>2319</v>
      </c>
      <c r="K265" t="s">
        <v>2325</v>
      </c>
      <c r="L265" t="s">
        <v>2326</v>
      </c>
      <c r="M265" t="s">
        <v>2336</v>
      </c>
      <c r="N265" t="s">
        <v>369</v>
      </c>
      <c r="O265" t="s">
        <v>2337</v>
      </c>
      <c r="P265" t="s">
        <v>2293</v>
      </c>
      <c r="Q265" t="s">
        <v>370</v>
      </c>
    </row>
    <row r="266" spans="1:17" ht="14.25" customHeight="1" x14ac:dyDescent="0.2">
      <c r="A266" s="578" t="s">
        <v>2448</v>
      </c>
      <c r="B266" s="110">
        <f t="shared" si="3"/>
        <v>12.450000000000001</v>
      </c>
      <c r="C266" s="575">
        <v>45978</v>
      </c>
      <c r="D266" s="569">
        <v>45980</v>
      </c>
      <c r="E266" s="569">
        <v>45980</v>
      </c>
      <c r="F266" t="s">
        <v>1965</v>
      </c>
      <c r="G266" t="s">
        <v>2338</v>
      </c>
      <c r="H266" t="s">
        <v>367</v>
      </c>
      <c r="I266" t="s">
        <v>368</v>
      </c>
      <c r="J266" t="s">
        <v>2319</v>
      </c>
      <c r="K266" t="s">
        <v>2325</v>
      </c>
      <c r="L266" t="s">
        <v>2326</v>
      </c>
      <c r="M266" t="s">
        <v>2339</v>
      </c>
      <c r="N266" t="s">
        <v>369</v>
      </c>
      <c r="O266" t="s">
        <v>2340</v>
      </c>
      <c r="P266" t="s">
        <v>2293</v>
      </c>
      <c r="Q266" t="s">
        <v>370</v>
      </c>
    </row>
    <row r="267" spans="1:17" ht="14.25" customHeight="1" x14ac:dyDescent="0.2">
      <c r="A267" s="578" t="s">
        <v>1461</v>
      </c>
      <c r="B267" s="110">
        <f t="shared" si="3"/>
        <v>3.62</v>
      </c>
      <c r="C267" s="575">
        <v>45978</v>
      </c>
      <c r="D267" s="569">
        <v>45980</v>
      </c>
      <c r="E267" s="569">
        <v>45980</v>
      </c>
      <c r="F267" t="s">
        <v>868</v>
      </c>
      <c r="G267" t="s">
        <v>370</v>
      </c>
      <c r="H267" t="s">
        <v>367</v>
      </c>
      <c r="I267" t="s">
        <v>368</v>
      </c>
      <c r="J267" t="s">
        <v>1776</v>
      </c>
      <c r="K267" t="s">
        <v>1417</v>
      </c>
      <c r="L267" t="s">
        <v>1400</v>
      </c>
      <c r="M267" t="s">
        <v>2341</v>
      </c>
      <c r="N267" t="s">
        <v>741</v>
      </c>
      <c r="O267" t="s">
        <v>2342</v>
      </c>
      <c r="P267" t="s">
        <v>2293</v>
      </c>
      <c r="Q267" t="s">
        <v>370</v>
      </c>
    </row>
    <row r="268" spans="1:17" ht="14.25" customHeight="1" x14ac:dyDescent="0.2">
      <c r="A268" s="584" t="s">
        <v>2447</v>
      </c>
      <c r="B268" s="110">
        <f t="shared" si="3"/>
        <v>9.51</v>
      </c>
      <c r="C268" s="575">
        <v>45978</v>
      </c>
      <c r="D268" s="569">
        <v>45980</v>
      </c>
      <c r="E268" s="569">
        <v>45980</v>
      </c>
      <c r="F268" t="s">
        <v>1447</v>
      </c>
      <c r="G268" t="s">
        <v>370</v>
      </c>
      <c r="H268" t="s">
        <v>367</v>
      </c>
      <c r="I268" t="s">
        <v>368</v>
      </c>
      <c r="J268" t="s">
        <v>2288</v>
      </c>
      <c r="K268" t="s">
        <v>2289</v>
      </c>
      <c r="L268" t="s">
        <v>2290</v>
      </c>
      <c r="M268" t="s">
        <v>2343</v>
      </c>
      <c r="N268" t="s">
        <v>741</v>
      </c>
      <c r="O268" t="s">
        <v>2344</v>
      </c>
      <c r="P268" t="s">
        <v>2293</v>
      </c>
      <c r="Q268" t="s">
        <v>370</v>
      </c>
    </row>
    <row r="269" spans="1:17" ht="14.25" customHeight="1" x14ac:dyDescent="0.2">
      <c r="A269" s="584" t="s">
        <v>2447</v>
      </c>
      <c r="B269" s="110">
        <f t="shared" si="3"/>
        <v>9.51</v>
      </c>
      <c r="C269" s="575">
        <v>45978</v>
      </c>
      <c r="D269" s="569">
        <v>45980</v>
      </c>
      <c r="E269" s="569">
        <v>45980</v>
      </c>
      <c r="F269" t="s">
        <v>1872</v>
      </c>
      <c r="G269" t="s">
        <v>1872</v>
      </c>
      <c r="H269" t="s">
        <v>367</v>
      </c>
      <c r="I269" t="s">
        <v>368</v>
      </c>
      <c r="J269" t="s">
        <v>2288</v>
      </c>
      <c r="K269" t="s">
        <v>2289</v>
      </c>
      <c r="L269" t="s">
        <v>2290</v>
      </c>
      <c r="M269" t="s">
        <v>2345</v>
      </c>
      <c r="N269" t="s">
        <v>369</v>
      </c>
      <c r="O269" t="s">
        <v>2346</v>
      </c>
      <c r="P269" t="s">
        <v>2293</v>
      </c>
      <c r="Q269" t="s">
        <v>370</v>
      </c>
    </row>
    <row r="270" spans="1:17" ht="14.25" customHeight="1" x14ac:dyDescent="0.2">
      <c r="A270" s="584" t="s">
        <v>2447</v>
      </c>
      <c r="B270" s="110">
        <f t="shared" si="3"/>
        <v>9.51</v>
      </c>
      <c r="C270" s="575">
        <v>45978</v>
      </c>
      <c r="D270" s="569">
        <v>45980</v>
      </c>
      <c r="E270" s="569">
        <v>45980</v>
      </c>
      <c r="F270" t="s">
        <v>791</v>
      </c>
      <c r="G270" t="s">
        <v>370</v>
      </c>
      <c r="H270" t="s">
        <v>367</v>
      </c>
      <c r="I270" t="s">
        <v>368</v>
      </c>
      <c r="J270" t="s">
        <v>2288</v>
      </c>
      <c r="K270" t="s">
        <v>2289</v>
      </c>
      <c r="L270" t="s">
        <v>2290</v>
      </c>
      <c r="M270" t="s">
        <v>2347</v>
      </c>
      <c r="N270" t="s">
        <v>741</v>
      </c>
      <c r="O270" t="s">
        <v>2348</v>
      </c>
      <c r="P270" t="s">
        <v>2293</v>
      </c>
      <c r="Q270" t="s">
        <v>370</v>
      </c>
    </row>
    <row r="271" spans="1:17" ht="14.25" customHeight="1" x14ac:dyDescent="0.2">
      <c r="A271" s="578" t="s">
        <v>1461</v>
      </c>
      <c r="B271" s="110">
        <f t="shared" si="3"/>
        <v>3.6</v>
      </c>
      <c r="C271" s="575">
        <v>45978</v>
      </c>
      <c r="D271" s="569">
        <v>45980</v>
      </c>
      <c r="E271" s="569">
        <v>45980</v>
      </c>
      <c r="F271" t="s">
        <v>1184</v>
      </c>
      <c r="G271" t="s">
        <v>370</v>
      </c>
      <c r="H271" t="s">
        <v>367</v>
      </c>
      <c r="I271" t="s">
        <v>368</v>
      </c>
      <c r="J271" t="s">
        <v>1776</v>
      </c>
      <c r="K271" t="s">
        <v>1399</v>
      </c>
      <c r="L271" t="s">
        <v>1777</v>
      </c>
      <c r="M271" t="s">
        <v>2349</v>
      </c>
      <c r="N271" t="s">
        <v>747</v>
      </c>
      <c r="O271" t="s">
        <v>2350</v>
      </c>
      <c r="P271" t="s">
        <v>2293</v>
      </c>
      <c r="Q271" t="s">
        <v>370</v>
      </c>
    </row>
    <row r="272" spans="1:17" ht="14.25" customHeight="1" x14ac:dyDescent="0.2">
      <c r="A272" s="584" t="s">
        <v>2447</v>
      </c>
      <c r="B272" s="110">
        <f t="shared" si="3"/>
        <v>9.51</v>
      </c>
      <c r="C272" s="575">
        <v>45978</v>
      </c>
      <c r="D272" s="569">
        <v>45980</v>
      </c>
      <c r="E272" s="569">
        <v>45980</v>
      </c>
      <c r="F272" t="s">
        <v>813</v>
      </c>
      <c r="G272" t="s">
        <v>370</v>
      </c>
      <c r="H272" t="s">
        <v>367</v>
      </c>
      <c r="I272" t="s">
        <v>368</v>
      </c>
      <c r="J272" t="s">
        <v>2288</v>
      </c>
      <c r="K272" t="s">
        <v>2289</v>
      </c>
      <c r="L272" t="s">
        <v>2290</v>
      </c>
      <c r="M272" t="s">
        <v>2351</v>
      </c>
      <c r="N272" t="s">
        <v>741</v>
      </c>
      <c r="O272" t="s">
        <v>2352</v>
      </c>
      <c r="P272" t="s">
        <v>2293</v>
      </c>
      <c r="Q272" t="s">
        <v>370</v>
      </c>
    </row>
    <row r="273" spans="1:17" ht="14.25" customHeight="1" x14ac:dyDescent="0.2">
      <c r="A273" s="584" t="s">
        <v>2447</v>
      </c>
      <c r="B273" s="110">
        <f t="shared" si="3"/>
        <v>9.4500000000000011</v>
      </c>
      <c r="C273" s="575">
        <v>45978</v>
      </c>
      <c r="D273" s="569">
        <v>45980</v>
      </c>
      <c r="E273" s="569">
        <v>45980</v>
      </c>
      <c r="F273" t="s">
        <v>826</v>
      </c>
      <c r="G273" t="s">
        <v>370</v>
      </c>
      <c r="H273" t="s">
        <v>367</v>
      </c>
      <c r="I273" t="s">
        <v>368</v>
      </c>
      <c r="J273" t="s">
        <v>2288</v>
      </c>
      <c r="K273" t="s">
        <v>2353</v>
      </c>
      <c r="L273" t="s">
        <v>2354</v>
      </c>
      <c r="M273" t="s">
        <v>2355</v>
      </c>
      <c r="N273" t="s">
        <v>747</v>
      </c>
      <c r="O273" t="s">
        <v>2356</v>
      </c>
      <c r="P273" t="s">
        <v>2293</v>
      </c>
      <c r="Q273" t="s">
        <v>370</v>
      </c>
    </row>
    <row r="274" spans="1:17" ht="14.25" customHeight="1" x14ac:dyDescent="0.2">
      <c r="A274" s="584" t="s">
        <v>2447</v>
      </c>
      <c r="B274" s="110">
        <f t="shared" si="3"/>
        <v>9.4500000000000011</v>
      </c>
      <c r="C274" s="575">
        <v>45978</v>
      </c>
      <c r="D274" s="569">
        <v>45980</v>
      </c>
      <c r="E274" s="569">
        <v>45980</v>
      </c>
      <c r="F274" t="s">
        <v>1354</v>
      </c>
      <c r="G274" t="s">
        <v>370</v>
      </c>
      <c r="H274" t="s">
        <v>367</v>
      </c>
      <c r="I274" t="s">
        <v>368</v>
      </c>
      <c r="J274" t="s">
        <v>2288</v>
      </c>
      <c r="K274" t="s">
        <v>2353</v>
      </c>
      <c r="L274" t="s">
        <v>2354</v>
      </c>
      <c r="M274" t="s">
        <v>2357</v>
      </c>
      <c r="N274" t="s">
        <v>747</v>
      </c>
      <c r="O274" t="s">
        <v>2358</v>
      </c>
      <c r="P274" t="s">
        <v>2293</v>
      </c>
      <c r="Q274" t="s">
        <v>370</v>
      </c>
    </row>
    <row r="275" spans="1:17" ht="14.25" customHeight="1" x14ac:dyDescent="0.2">
      <c r="A275" s="584" t="s">
        <v>2447</v>
      </c>
      <c r="B275" s="110">
        <f t="shared" si="3"/>
        <v>9.4500000000000011</v>
      </c>
      <c r="C275" s="575">
        <v>45978</v>
      </c>
      <c r="D275" s="569">
        <v>45980</v>
      </c>
      <c r="E275" s="569">
        <v>45980</v>
      </c>
      <c r="F275" t="s">
        <v>1554</v>
      </c>
      <c r="G275" t="s">
        <v>370</v>
      </c>
      <c r="H275" t="s">
        <v>367</v>
      </c>
      <c r="I275" t="s">
        <v>368</v>
      </c>
      <c r="J275" t="s">
        <v>2288</v>
      </c>
      <c r="K275" t="s">
        <v>2353</v>
      </c>
      <c r="L275" t="s">
        <v>2354</v>
      </c>
      <c r="M275" t="s">
        <v>2359</v>
      </c>
      <c r="N275" t="s">
        <v>747</v>
      </c>
      <c r="O275" t="s">
        <v>2360</v>
      </c>
      <c r="P275" t="s">
        <v>2293</v>
      </c>
      <c r="Q275" t="s">
        <v>370</v>
      </c>
    </row>
    <row r="276" spans="1:17" ht="14.25" customHeight="1" x14ac:dyDescent="0.2">
      <c r="A276" s="584" t="s">
        <v>2447</v>
      </c>
      <c r="B276" s="110">
        <f t="shared" si="3"/>
        <v>9.4500000000000011</v>
      </c>
      <c r="C276" s="575">
        <v>45978</v>
      </c>
      <c r="D276" s="569">
        <v>45980</v>
      </c>
      <c r="E276" s="569">
        <v>45980</v>
      </c>
      <c r="F276" t="s">
        <v>1184</v>
      </c>
      <c r="G276" t="s">
        <v>370</v>
      </c>
      <c r="H276" t="s">
        <v>367</v>
      </c>
      <c r="I276" t="s">
        <v>368</v>
      </c>
      <c r="J276" t="s">
        <v>2288</v>
      </c>
      <c r="K276" t="s">
        <v>2353</v>
      </c>
      <c r="L276" t="s">
        <v>2354</v>
      </c>
      <c r="M276" t="s">
        <v>2361</v>
      </c>
      <c r="N276" t="s">
        <v>747</v>
      </c>
      <c r="O276" t="s">
        <v>2362</v>
      </c>
      <c r="P276" t="s">
        <v>2293</v>
      </c>
      <c r="Q276" t="s">
        <v>370</v>
      </c>
    </row>
    <row r="277" spans="1:17" ht="14.25" customHeight="1" x14ac:dyDescent="0.2">
      <c r="A277" s="584" t="s">
        <v>2447</v>
      </c>
      <c r="B277" s="110">
        <f t="shared" si="3"/>
        <v>9.4500000000000011</v>
      </c>
      <c r="C277" s="575">
        <v>45978</v>
      </c>
      <c r="D277" s="569">
        <v>45980</v>
      </c>
      <c r="E277" s="569">
        <v>45980</v>
      </c>
      <c r="F277" t="s">
        <v>1232</v>
      </c>
      <c r="G277" t="s">
        <v>370</v>
      </c>
      <c r="H277" t="s">
        <v>367</v>
      </c>
      <c r="I277" t="s">
        <v>368</v>
      </c>
      <c r="J277" t="s">
        <v>2288</v>
      </c>
      <c r="K277" t="s">
        <v>2353</v>
      </c>
      <c r="L277" t="s">
        <v>2354</v>
      </c>
      <c r="M277" t="s">
        <v>2363</v>
      </c>
      <c r="N277" t="s">
        <v>747</v>
      </c>
      <c r="O277" t="s">
        <v>2364</v>
      </c>
      <c r="P277" t="s">
        <v>2293</v>
      </c>
      <c r="Q277" t="s">
        <v>370</v>
      </c>
    </row>
    <row r="278" spans="1:17" ht="14.25" customHeight="1" x14ac:dyDescent="0.2">
      <c r="A278" s="584" t="s">
        <v>2447</v>
      </c>
      <c r="B278" s="110">
        <f t="shared" si="3"/>
        <v>9.51</v>
      </c>
      <c r="C278" s="575">
        <v>45978</v>
      </c>
      <c r="D278" s="569">
        <v>45980</v>
      </c>
      <c r="E278" s="569">
        <v>45980</v>
      </c>
      <c r="F278" t="s">
        <v>2028</v>
      </c>
      <c r="G278" t="s">
        <v>370</v>
      </c>
      <c r="H278" t="s">
        <v>367</v>
      </c>
      <c r="I278" t="s">
        <v>368</v>
      </c>
      <c r="J278" t="s">
        <v>2288</v>
      </c>
      <c r="K278" t="s">
        <v>2289</v>
      </c>
      <c r="L278" t="s">
        <v>2290</v>
      </c>
      <c r="M278" t="s">
        <v>2365</v>
      </c>
      <c r="N278" t="s">
        <v>741</v>
      </c>
      <c r="O278" t="s">
        <v>2366</v>
      </c>
      <c r="P278" t="s">
        <v>2293</v>
      </c>
      <c r="Q278" t="s">
        <v>370</v>
      </c>
    </row>
    <row r="279" spans="1:17" ht="14.25" customHeight="1" x14ac:dyDescent="0.2">
      <c r="A279" s="584" t="s">
        <v>2447</v>
      </c>
      <c r="B279" s="110">
        <f t="shared" si="3"/>
        <v>9.4500000000000011</v>
      </c>
      <c r="C279" s="575">
        <v>45978</v>
      </c>
      <c r="D279" s="569">
        <v>45980</v>
      </c>
      <c r="E279" s="569">
        <v>45980</v>
      </c>
      <c r="F279" t="s">
        <v>2367</v>
      </c>
      <c r="G279" t="s">
        <v>370</v>
      </c>
      <c r="H279" t="s">
        <v>367</v>
      </c>
      <c r="I279" t="s">
        <v>368</v>
      </c>
      <c r="J279" t="s">
        <v>2288</v>
      </c>
      <c r="K279" t="s">
        <v>2353</v>
      </c>
      <c r="L279" t="s">
        <v>2354</v>
      </c>
      <c r="M279" t="s">
        <v>2368</v>
      </c>
      <c r="N279" t="s">
        <v>747</v>
      </c>
      <c r="O279" t="s">
        <v>2369</v>
      </c>
      <c r="P279" t="s">
        <v>2293</v>
      </c>
      <c r="Q279" t="s">
        <v>370</v>
      </c>
    </row>
    <row r="280" spans="1:17" ht="14.25" customHeight="1" x14ac:dyDescent="0.2">
      <c r="A280" s="584" t="s">
        <v>2447</v>
      </c>
      <c r="B280" s="110">
        <f t="shared" si="3"/>
        <v>9.4500000000000011</v>
      </c>
      <c r="C280" s="575">
        <v>45978</v>
      </c>
      <c r="D280" s="569">
        <v>45980</v>
      </c>
      <c r="E280" s="569">
        <v>45980</v>
      </c>
      <c r="F280" t="s">
        <v>786</v>
      </c>
      <c r="G280" t="s">
        <v>370</v>
      </c>
      <c r="H280" t="s">
        <v>367</v>
      </c>
      <c r="I280" t="s">
        <v>368</v>
      </c>
      <c r="J280" t="s">
        <v>2288</v>
      </c>
      <c r="K280" t="s">
        <v>2353</v>
      </c>
      <c r="L280" t="s">
        <v>2354</v>
      </c>
      <c r="M280" t="s">
        <v>2370</v>
      </c>
      <c r="N280" t="s">
        <v>747</v>
      </c>
      <c r="O280" t="s">
        <v>2371</v>
      </c>
      <c r="P280" t="s">
        <v>2293</v>
      </c>
      <c r="Q280" t="s">
        <v>370</v>
      </c>
    </row>
    <row r="281" spans="1:17" ht="14.25" customHeight="1" x14ac:dyDescent="0.2">
      <c r="A281" s="584" t="s">
        <v>2447</v>
      </c>
      <c r="B281" s="110">
        <f t="shared" si="3"/>
        <v>9.51</v>
      </c>
      <c r="C281" s="575">
        <v>45978</v>
      </c>
      <c r="D281" s="569">
        <v>45980</v>
      </c>
      <c r="E281" s="569">
        <v>45980</v>
      </c>
      <c r="F281" t="s">
        <v>850</v>
      </c>
      <c r="G281" t="s">
        <v>850</v>
      </c>
      <c r="H281" t="s">
        <v>367</v>
      </c>
      <c r="I281" t="s">
        <v>368</v>
      </c>
      <c r="J281" t="s">
        <v>2288</v>
      </c>
      <c r="K281" t="s">
        <v>2289</v>
      </c>
      <c r="L281" t="s">
        <v>2290</v>
      </c>
      <c r="M281" t="s">
        <v>2372</v>
      </c>
      <c r="N281" t="s">
        <v>369</v>
      </c>
      <c r="O281" t="s">
        <v>2373</v>
      </c>
      <c r="P281" t="s">
        <v>2293</v>
      </c>
      <c r="Q281" t="s">
        <v>370</v>
      </c>
    </row>
    <row r="282" spans="1:17" ht="14.25" customHeight="1" x14ac:dyDescent="0.2">
      <c r="A282" s="584" t="s">
        <v>2447</v>
      </c>
      <c r="B282" s="110">
        <f t="shared" si="3"/>
        <v>9.51</v>
      </c>
      <c r="C282" s="575">
        <v>45978</v>
      </c>
      <c r="D282" s="569">
        <v>45980</v>
      </c>
      <c r="E282" s="569">
        <v>45980</v>
      </c>
      <c r="F282" t="s">
        <v>2157</v>
      </c>
      <c r="G282" t="s">
        <v>2158</v>
      </c>
      <c r="H282" t="s">
        <v>367</v>
      </c>
      <c r="I282" t="s">
        <v>368</v>
      </c>
      <c r="J282" t="s">
        <v>2288</v>
      </c>
      <c r="K282" t="s">
        <v>2289</v>
      </c>
      <c r="L282" t="s">
        <v>2290</v>
      </c>
      <c r="M282" t="s">
        <v>2374</v>
      </c>
      <c r="N282" t="s">
        <v>369</v>
      </c>
      <c r="O282" t="s">
        <v>2375</v>
      </c>
      <c r="P282" t="s">
        <v>2293</v>
      </c>
      <c r="Q282" t="s">
        <v>370</v>
      </c>
    </row>
    <row r="283" spans="1:17" ht="14.25" customHeight="1" x14ac:dyDescent="0.2">
      <c r="A283" s="578" t="s">
        <v>2448</v>
      </c>
      <c r="B283" s="110">
        <f t="shared" si="3"/>
        <v>12.450000000000001</v>
      </c>
      <c r="C283" s="575">
        <v>45978</v>
      </c>
      <c r="D283" s="569">
        <v>45980</v>
      </c>
      <c r="E283" s="569">
        <v>45980</v>
      </c>
      <c r="F283" t="s">
        <v>1301</v>
      </c>
      <c r="G283" t="s">
        <v>370</v>
      </c>
      <c r="H283" t="s">
        <v>367</v>
      </c>
      <c r="I283" t="s">
        <v>368</v>
      </c>
      <c r="J283" t="s">
        <v>2319</v>
      </c>
      <c r="K283" t="s">
        <v>2325</v>
      </c>
      <c r="L283" t="s">
        <v>2326</v>
      </c>
      <c r="M283" t="s">
        <v>2376</v>
      </c>
      <c r="N283" t="s">
        <v>741</v>
      </c>
      <c r="O283" t="s">
        <v>2377</v>
      </c>
      <c r="P283" t="s">
        <v>2293</v>
      </c>
      <c r="Q283" t="s">
        <v>370</v>
      </c>
    </row>
    <row r="284" spans="1:17" ht="14.25" customHeight="1" x14ac:dyDescent="0.2">
      <c r="A284" s="584" t="s">
        <v>2447</v>
      </c>
      <c r="B284" s="110">
        <f t="shared" si="3"/>
        <v>9.4500000000000011</v>
      </c>
      <c r="C284" s="575">
        <v>45978</v>
      </c>
      <c r="D284" s="569">
        <v>45980</v>
      </c>
      <c r="E284" s="569">
        <v>45980</v>
      </c>
      <c r="F284" t="s">
        <v>2378</v>
      </c>
      <c r="G284" t="s">
        <v>370</v>
      </c>
      <c r="H284" t="s">
        <v>367</v>
      </c>
      <c r="I284" t="s">
        <v>368</v>
      </c>
      <c r="J284" t="s">
        <v>2288</v>
      </c>
      <c r="K284" t="s">
        <v>2353</v>
      </c>
      <c r="L284" t="s">
        <v>2354</v>
      </c>
      <c r="M284" t="s">
        <v>2379</v>
      </c>
      <c r="N284" t="s">
        <v>747</v>
      </c>
      <c r="O284" t="s">
        <v>2380</v>
      </c>
      <c r="P284" t="s">
        <v>2293</v>
      </c>
      <c r="Q284" t="s">
        <v>370</v>
      </c>
    </row>
    <row r="285" spans="1:17" ht="14.25" customHeight="1" x14ac:dyDescent="0.2">
      <c r="A285" s="578" t="s">
        <v>1461</v>
      </c>
      <c r="B285" s="110">
        <f t="shared" si="3"/>
        <v>3.62</v>
      </c>
      <c r="C285" s="575">
        <v>45978</v>
      </c>
      <c r="D285" s="569">
        <v>45980</v>
      </c>
      <c r="E285" s="569">
        <v>45980</v>
      </c>
      <c r="F285" t="s">
        <v>1703</v>
      </c>
      <c r="G285" t="s">
        <v>370</v>
      </c>
      <c r="H285" t="s">
        <v>367</v>
      </c>
      <c r="I285" t="s">
        <v>368</v>
      </c>
      <c r="J285" t="s">
        <v>1776</v>
      </c>
      <c r="K285" t="s">
        <v>1417</v>
      </c>
      <c r="L285" t="s">
        <v>1400</v>
      </c>
      <c r="M285" t="s">
        <v>2381</v>
      </c>
      <c r="N285" t="s">
        <v>741</v>
      </c>
      <c r="O285" t="s">
        <v>2382</v>
      </c>
      <c r="P285" t="s">
        <v>2293</v>
      </c>
      <c r="Q285" t="s">
        <v>370</v>
      </c>
    </row>
    <row r="286" spans="1:17" ht="14.25" customHeight="1" x14ac:dyDescent="0.2">
      <c r="A286" s="578" t="s">
        <v>1461</v>
      </c>
      <c r="B286" s="110">
        <f t="shared" si="3"/>
        <v>3.6</v>
      </c>
      <c r="C286" s="575">
        <v>45978</v>
      </c>
      <c r="D286" s="569">
        <v>45980</v>
      </c>
      <c r="E286" s="569">
        <v>45980</v>
      </c>
      <c r="F286" t="s">
        <v>903</v>
      </c>
      <c r="G286" t="s">
        <v>370</v>
      </c>
      <c r="H286" t="s">
        <v>367</v>
      </c>
      <c r="I286" t="s">
        <v>368</v>
      </c>
      <c r="J286" t="s">
        <v>1776</v>
      </c>
      <c r="K286" t="s">
        <v>1399</v>
      </c>
      <c r="L286" t="s">
        <v>1777</v>
      </c>
      <c r="M286" t="s">
        <v>2383</v>
      </c>
      <c r="N286" t="s">
        <v>747</v>
      </c>
      <c r="O286" t="s">
        <v>2384</v>
      </c>
      <c r="P286" t="s">
        <v>2293</v>
      </c>
      <c r="Q286" t="s">
        <v>370</v>
      </c>
    </row>
    <row r="287" spans="1:17" ht="14.25" customHeight="1" x14ac:dyDescent="0.2">
      <c r="A287" s="584" t="s">
        <v>2447</v>
      </c>
      <c r="B287" s="110">
        <f t="shared" si="3"/>
        <v>9.51</v>
      </c>
      <c r="C287" s="575">
        <v>45978</v>
      </c>
      <c r="D287" s="569">
        <v>45980</v>
      </c>
      <c r="E287" s="569">
        <v>45980</v>
      </c>
      <c r="F287" t="s">
        <v>880</v>
      </c>
      <c r="G287" t="s">
        <v>880</v>
      </c>
      <c r="H287" t="s">
        <v>367</v>
      </c>
      <c r="I287" t="s">
        <v>368</v>
      </c>
      <c r="J287" t="s">
        <v>2288</v>
      </c>
      <c r="K287" t="s">
        <v>2289</v>
      </c>
      <c r="L287" t="s">
        <v>2290</v>
      </c>
      <c r="M287" t="s">
        <v>2385</v>
      </c>
      <c r="N287" t="s">
        <v>369</v>
      </c>
      <c r="O287" t="s">
        <v>2386</v>
      </c>
      <c r="P287" t="s">
        <v>2293</v>
      </c>
      <c r="Q287" t="s">
        <v>370</v>
      </c>
    </row>
    <row r="288" spans="1:17" ht="14.25" customHeight="1" x14ac:dyDescent="0.2">
      <c r="A288" s="578" t="s">
        <v>2448</v>
      </c>
      <c r="B288" s="110">
        <f t="shared" si="3"/>
        <v>12.450000000000001</v>
      </c>
      <c r="C288" s="575">
        <v>45978</v>
      </c>
      <c r="D288" s="569">
        <v>45980</v>
      </c>
      <c r="E288" s="569">
        <v>45980</v>
      </c>
      <c r="F288" t="s">
        <v>1703</v>
      </c>
      <c r="G288" t="s">
        <v>370</v>
      </c>
      <c r="H288" t="s">
        <v>367</v>
      </c>
      <c r="I288" t="s">
        <v>368</v>
      </c>
      <c r="J288" t="s">
        <v>2319</v>
      </c>
      <c r="K288" t="s">
        <v>2325</v>
      </c>
      <c r="L288" t="s">
        <v>2326</v>
      </c>
      <c r="M288" t="s">
        <v>2387</v>
      </c>
      <c r="N288" t="s">
        <v>741</v>
      </c>
      <c r="O288" t="s">
        <v>2388</v>
      </c>
      <c r="P288" t="s">
        <v>2293</v>
      </c>
      <c r="Q288" t="s">
        <v>370</v>
      </c>
    </row>
    <row r="289" spans="1:17" ht="14.25" customHeight="1" x14ac:dyDescent="0.2">
      <c r="A289" s="584" t="s">
        <v>2447</v>
      </c>
      <c r="B289" s="110">
        <f t="shared" si="3"/>
        <v>9.39</v>
      </c>
      <c r="C289" s="575">
        <v>45978</v>
      </c>
      <c r="D289" s="569">
        <v>45980</v>
      </c>
      <c r="E289" s="569">
        <v>45980</v>
      </c>
      <c r="F289" t="s">
        <v>1220</v>
      </c>
      <c r="G289" t="s">
        <v>370</v>
      </c>
      <c r="H289" t="s">
        <v>367</v>
      </c>
      <c r="I289" t="s">
        <v>368</v>
      </c>
      <c r="J289" t="s">
        <v>2288</v>
      </c>
      <c r="K289" t="s">
        <v>2389</v>
      </c>
      <c r="L289" t="s">
        <v>2390</v>
      </c>
      <c r="M289" t="s">
        <v>2391</v>
      </c>
      <c r="N289" t="s">
        <v>741</v>
      </c>
      <c r="O289" t="s">
        <v>2392</v>
      </c>
      <c r="P289" t="s">
        <v>2293</v>
      </c>
      <c r="Q289" t="s">
        <v>370</v>
      </c>
    </row>
    <row r="290" spans="1:17" ht="14.25" customHeight="1" x14ac:dyDescent="0.2">
      <c r="A290" s="578" t="s">
        <v>2448</v>
      </c>
      <c r="B290" s="110">
        <f t="shared" si="3"/>
        <v>12.370000000000001</v>
      </c>
      <c r="C290" s="575">
        <v>45978</v>
      </c>
      <c r="D290" s="569">
        <v>45980</v>
      </c>
      <c r="E290" s="569">
        <v>45980</v>
      </c>
      <c r="F290" t="s">
        <v>2393</v>
      </c>
      <c r="G290" t="s">
        <v>370</v>
      </c>
      <c r="H290" t="s">
        <v>367</v>
      </c>
      <c r="I290" t="s">
        <v>368</v>
      </c>
      <c r="J290" t="s">
        <v>2319</v>
      </c>
      <c r="K290" t="s">
        <v>2320</v>
      </c>
      <c r="L290" t="s">
        <v>2321</v>
      </c>
      <c r="M290" t="s">
        <v>2394</v>
      </c>
      <c r="N290" t="s">
        <v>747</v>
      </c>
      <c r="O290" t="s">
        <v>2395</v>
      </c>
      <c r="P290" t="s">
        <v>2293</v>
      </c>
      <c r="Q290" t="s">
        <v>370</v>
      </c>
    </row>
    <row r="291" spans="1:17" ht="14.25" customHeight="1" x14ac:dyDescent="0.2">
      <c r="A291" s="584" t="s">
        <v>2447</v>
      </c>
      <c r="B291" s="110">
        <f t="shared" si="3"/>
        <v>9.51</v>
      </c>
      <c r="C291" s="575">
        <v>45978</v>
      </c>
      <c r="D291" s="569">
        <v>45980</v>
      </c>
      <c r="E291" s="569">
        <v>45980</v>
      </c>
      <c r="F291" t="s">
        <v>770</v>
      </c>
      <c r="G291" t="s">
        <v>370</v>
      </c>
      <c r="H291" t="s">
        <v>367</v>
      </c>
      <c r="I291" t="s">
        <v>368</v>
      </c>
      <c r="J291" t="s">
        <v>2288</v>
      </c>
      <c r="K291" t="s">
        <v>2289</v>
      </c>
      <c r="L291" t="s">
        <v>2290</v>
      </c>
      <c r="M291" t="s">
        <v>2396</v>
      </c>
      <c r="N291" t="s">
        <v>741</v>
      </c>
      <c r="O291" t="s">
        <v>2397</v>
      </c>
      <c r="P291" t="s">
        <v>2293</v>
      </c>
      <c r="Q291" t="s">
        <v>370</v>
      </c>
    </row>
    <row r="292" spans="1:17" ht="14.25" customHeight="1" x14ac:dyDescent="0.2">
      <c r="A292" s="584" t="s">
        <v>2447</v>
      </c>
      <c r="B292" s="110">
        <f t="shared" si="3"/>
        <v>9.51</v>
      </c>
      <c r="C292" s="575">
        <v>45978</v>
      </c>
      <c r="D292" s="569">
        <v>45980</v>
      </c>
      <c r="E292" s="569">
        <v>45980</v>
      </c>
      <c r="F292" t="s">
        <v>2031</v>
      </c>
      <c r="G292" t="s">
        <v>370</v>
      </c>
      <c r="H292" t="s">
        <v>367</v>
      </c>
      <c r="I292" t="s">
        <v>368</v>
      </c>
      <c r="J292" t="s">
        <v>2288</v>
      </c>
      <c r="K292" t="s">
        <v>2289</v>
      </c>
      <c r="L292" t="s">
        <v>2290</v>
      </c>
      <c r="M292" t="s">
        <v>2398</v>
      </c>
      <c r="N292" t="s">
        <v>741</v>
      </c>
      <c r="O292" t="s">
        <v>2399</v>
      </c>
      <c r="P292" t="s">
        <v>2293</v>
      </c>
      <c r="Q292" t="s">
        <v>370</v>
      </c>
    </row>
    <row r="293" spans="1:17" ht="14.25" customHeight="1" x14ac:dyDescent="0.2">
      <c r="A293" s="584" t="s">
        <v>2447</v>
      </c>
      <c r="B293" s="110">
        <f t="shared" si="3"/>
        <v>9.4500000000000011</v>
      </c>
      <c r="C293" s="575">
        <v>45978</v>
      </c>
      <c r="D293" s="569">
        <v>45980</v>
      </c>
      <c r="E293" s="569">
        <v>45980</v>
      </c>
      <c r="F293" t="s">
        <v>2400</v>
      </c>
      <c r="G293" t="s">
        <v>370</v>
      </c>
      <c r="H293" t="s">
        <v>367</v>
      </c>
      <c r="I293" t="s">
        <v>368</v>
      </c>
      <c r="J293" t="s">
        <v>2288</v>
      </c>
      <c r="K293" t="s">
        <v>2353</v>
      </c>
      <c r="L293" t="s">
        <v>2354</v>
      </c>
      <c r="M293" t="s">
        <v>2401</v>
      </c>
      <c r="N293" t="s">
        <v>747</v>
      </c>
      <c r="O293" t="s">
        <v>2402</v>
      </c>
      <c r="P293" t="s">
        <v>2293</v>
      </c>
      <c r="Q293" t="s">
        <v>370</v>
      </c>
    </row>
    <row r="294" spans="1:17" ht="14.25" customHeight="1" x14ac:dyDescent="0.2">
      <c r="A294" s="584" t="s">
        <v>2447</v>
      </c>
      <c r="B294" s="110">
        <f t="shared" si="3"/>
        <v>9.4500000000000011</v>
      </c>
      <c r="C294" s="575">
        <v>45978</v>
      </c>
      <c r="D294" s="569">
        <v>45980</v>
      </c>
      <c r="E294" s="569">
        <v>45980</v>
      </c>
      <c r="F294" t="s">
        <v>989</v>
      </c>
      <c r="G294" t="s">
        <v>370</v>
      </c>
      <c r="H294" t="s">
        <v>367</v>
      </c>
      <c r="I294" t="s">
        <v>368</v>
      </c>
      <c r="J294" t="s">
        <v>2288</v>
      </c>
      <c r="K294" t="s">
        <v>2353</v>
      </c>
      <c r="L294" t="s">
        <v>2354</v>
      </c>
      <c r="M294" t="s">
        <v>2403</v>
      </c>
      <c r="N294" t="s">
        <v>747</v>
      </c>
      <c r="O294" t="s">
        <v>2404</v>
      </c>
      <c r="P294" t="s">
        <v>2293</v>
      </c>
      <c r="Q294" t="s">
        <v>370</v>
      </c>
    </row>
    <row r="295" spans="1:17" ht="14.25" customHeight="1" x14ac:dyDescent="0.2">
      <c r="A295" s="584" t="s">
        <v>2447</v>
      </c>
      <c r="B295" s="110">
        <f t="shared" si="3"/>
        <v>9.51</v>
      </c>
      <c r="C295" s="575">
        <v>45978</v>
      </c>
      <c r="D295" s="569">
        <v>45980</v>
      </c>
      <c r="E295" s="569">
        <v>45980</v>
      </c>
      <c r="F295" t="s">
        <v>1804</v>
      </c>
      <c r="G295" t="s">
        <v>370</v>
      </c>
      <c r="H295" t="s">
        <v>367</v>
      </c>
      <c r="I295" t="s">
        <v>368</v>
      </c>
      <c r="J295" t="s">
        <v>2288</v>
      </c>
      <c r="K295" t="s">
        <v>2289</v>
      </c>
      <c r="L295" t="s">
        <v>2290</v>
      </c>
      <c r="M295" t="s">
        <v>2405</v>
      </c>
      <c r="N295" t="s">
        <v>741</v>
      </c>
      <c r="O295" t="s">
        <v>2406</v>
      </c>
      <c r="P295" t="s">
        <v>2293</v>
      </c>
      <c r="Q295" t="s">
        <v>370</v>
      </c>
    </row>
    <row r="296" spans="1:17" ht="14.25" customHeight="1" x14ac:dyDescent="0.2">
      <c r="A296" s="584" t="s">
        <v>2447</v>
      </c>
      <c r="B296" s="110">
        <f t="shared" si="3"/>
        <v>9.4500000000000011</v>
      </c>
      <c r="C296" s="575">
        <v>45978</v>
      </c>
      <c r="D296" s="569">
        <v>45980</v>
      </c>
      <c r="E296" s="569">
        <v>45980</v>
      </c>
      <c r="F296" t="s">
        <v>1229</v>
      </c>
      <c r="G296" t="s">
        <v>370</v>
      </c>
      <c r="H296" t="s">
        <v>367</v>
      </c>
      <c r="I296" t="s">
        <v>368</v>
      </c>
      <c r="J296" t="s">
        <v>2288</v>
      </c>
      <c r="K296" t="s">
        <v>2353</v>
      </c>
      <c r="L296" t="s">
        <v>2354</v>
      </c>
      <c r="M296" t="s">
        <v>2407</v>
      </c>
      <c r="N296" t="s">
        <v>747</v>
      </c>
      <c r="O296" t="s">
        <v>2408</v>
      </c>
      <c r="P296" t="s">
        <v>2293</v>
      </c>
      <c r="Q296" t="s">
        <v>370</v>
      </c>
    </row>
    <row r="297" spans="1:17" ht="14.25" customHeight="1" x14ac:dyDescent="0.2">
      <c r="A297" s="584" t="s">
        <v>2447</v>
      </c>
      <c r="B297" s="110">
        <f t="shared" si="3"/>
        <v>9.4500000000000011</v>
      </c>
      <c r="C297" s="575">
        <v>45978</v>
      </c>
      <c r="D297" s="569">
        <v>45980</v>
      </c>
      <c r="E297" s="569">
        <v>45980</v>
      </c>
      <c r="F297" t="s">
        <v>1211</v>
      </c>
      <c r="G297" t="s">
        <v>370</v>
      </c>
      <c r="H297" t="s">
        <v>367</v>
      </c>
      <c r="I297" t="s">
        <v>368</v>
      </c>
      <c r="J297" t="s">
        <v>2288</v>
      </c>
      <c r="K297" t="s">
        <v>2353</v>
      </c>
      <c r="L297" t="s">
        <v>2354</v>
      </c>
      <c r="M297" t="s">
        <v>2409</v>
      </c>
      <c r="N297" t="s">
        <v>747</v>
      </c>
      <c r="O297" t="s">
        <v>2410</v>
      </c>
      <c r="P297" t="s">
        <v>2293</v>
      </c>
      <c r="Q297" t="s">
        <v>370</v>
      </c>
    </row>
    <row r="298" spans="1:17" ht="14.25" customHeight="1" x14ac:dyDescent="0.2">
      <c r="A298" s="584" t="s">
        <v>2447</v>
      </c>
      <c r="B298" s="110">
        <f t="shared" si="3"/>
        <v>9.4500000000000011</v>
      </c>
      <c r="C298" s="575">
        <v>45978</v>
      </c>
      <c r="D298" s="569">
        <v>45980</v>
      </c>
      <c r="E298" s="569">
        <v>45980</v>
      </c>
      <c r="F298" t="s">
        <v>804</v>
      </c>
      <c r="G298" t="s">
        <v>370</v>
      </c>
      <c r="H298" t="s">
        <v>367</v>
      </c>
      <c r="I298" t="s">
        <v>368</v>
      </c>
      <c r="J298" t="s">
        <v>2288</v>
      </c>
      <c r="K298" t="s">
        <v>2353</v>
      </c>
      <c r="L298" t="s">
        <v>2354</v>
      </c>
      <c r="M298" t="s">
        <v>2411</v>
      </c>
      <c r="N298" t="s">
        <v>747</v>
      </c>
      <c r="O298" t="s">
        <v>2412</v>
      </c>
      <c r="P298" t="s">
        <v>2293</v>
      </c>
      <c r="Q298" t="s">
        <v>370</v>
      </c>
    </row>
    <row r="299" spans="1:17" ht="14.25" customHeight="1" x14ac:dyDescent="0.2">
      <c r="A299" s="584" t="s">
        <v>2447</v>
      </c>
      <c r="B299" s="110">
        <f t="shared" si="3"/>
        <v>9.51</v>
      </c>
      <c r="C299" s="575">
        <v>45978</v>
      </c>
      <c r="D299" s="569">
        <v>45980</v>
      </c>
      <c r="E299" s="569">
        <v>45980</v>
      </c>
      <c r="F299" t="s">
        <v>1062</v>
      </c>
      <c r="G299" t="s">
        <v>370</v>
      </c>
      <c r="H299" t="s">
        <v>367</v>
      </c>
      <c r="I299" t="s">
        <v>368</v>
      </c>
      <c r="J299" t="s">
        <v>2288</v>
      </c>
      <c r="K299" t="s">
        <v>2289</v>
      </c>
      <c r="L299" t="s">
        <v>2290</v>
      </c>
      <c r="M299" t="s">
        <v>2413</v>
      </c>
      <c r="N299" t="s">
        <v>741</v>
      </c>
      <c r="O299" t="s">
        <v>2414</v>
      </c>
      <c r="P299" t="s">
        <v>2293</v>
      </c>
      <c r="Q299" t="s">
        <v>370</v>
      </c>
    </row>
    <row r="300" spans="1:17" ht="14.25" customHeight="1" x14ac:dyDescent="0.2">
      <c r="A300" s="584" t="s">
        <v>2447</v>
      </c>
      <c r="B300" s="110">
        <f t="shared" si="3"/>
        <v>9.4500000000000011</v>
      </c>
      <c r="C300" s="575">
        <v>45978</v>
      </c>
      <c r="D300" s="569">
        <v>45980</v>
      </c>
      <c r="E300" s="569">
        <v>45980</v>
      </c>
      <c r="F300" t="s">
        <v>903</v>
      </c>
      <c r="G300" t="s">
        <v>370</v>
      </c>
      <c r="H300" t="s">
        <v>367</v>
      </c>
      <c r="I300" t="s">
        <v>368</v>
      </c>
      <c r="J300" t="s">
        <v>2288</v>
      </c>
      <c r="K300" t="s">
        <v>2353</v>
      </c>
      <c r="L300" t="s">
        <v>2354</v>
      </c>
      <c r="M300" t="s">
        <v>2415</v>
      </c>
      <c r="N300" t="s">
        <v>747</v>
      </c>
      <c r="O300" t="s">
        <v>2416</v>
      </c>
      <c r="P300" t="s">
        <v>2293</v>
      </c>
      <c r="Q300" t="s">
        <v>370</v>
      </c>
    </row>
    <row r="301" spans="1:17" ht="14.25" customHeight="1" x14ac:dyDescent="0.2">
      <c r="A301" s="578" t="s">
        <v>2448</v>
      </c>
      <c r="B301" s="110">
        <f t="shared" si="3"/>
        <v>12.370000000000001</v>
      </c>
      <c r="C301" s="575">
        <v>45978</v>
      </c>
      <c r="D301" s="569">
        <v>45980</v>
      </c>
      <c r="E301" s="569">
        <v>45980</v>
      </c>
      <c r="F301" t="s">
        <v>743</v>
      </c>
      <c r="G301" t="s">
        <v>370</v>
      </c>
      <c r="H301" t="s">
        <v>367</v>
      </c>
      <c r="I301" t="s">
        <v>368</v>
      </c>
      <c r="J301" t="s">
        <v>2319</v>
      </c>
      <c r="K301" t="s">
        <v>2320</v>
      </c>
      <c r="L301" t="s">
        <v>2321</v>
      </c>
      <c r="M301" t="s">
        <v>2417</v>
      </c>
      <c r="N301" t="s">
        <v>747</v>
      </c>
      <c r="O301" t="s">
        <v>2418</v>
      </c>
      <c r="P301" t="s">
        <v>2293</v>
      </c>
      <c r="Q301" t="s">
        <v>370</v>
      </c>
    </row>
    <row r="302" spans="1:17" ht="14.25" customHeight="1" x14ac:dyDescent="0.2">
      <c r="A302" s="578" t="s">
        <v>2448</v>
      </c>
      <c r="B302" s="110">
        <f t="shared" si="3"/>
        <v>12.370000000000001</v>
      </c>
      <c r="C302" s="575">
        <v>45978</v>
      </c>
      <c r="D302" s="569">
        <v>45980</v>
      </c>
      <c r="E302" s="569">
        <v>45980</v>
      </c>
      <c r="F302" t="s">
        <v>2419</v>
      </c>
      <c r="G302" t="s">
        <v>370</v>
      </c>
      <c r="H302" t="s">
        <v>367</v>
      </c>
      <c r="I302" t="s">
        <v>368</v>
      </c>
      <c r="J302" t="s">
        <v>2319</v>
      </c>
      <c r="K302" t="s">
        <v>2320</v>
      </c>
      <c r="L302" t="s">
        <v>2321</v>
      </c>
      <c r="M302" t="s">
        <v>2420</v>
      </c>
      <c r="N302" t="s">
        <v>747</v>
      </c>
      <c r="O302" t="s">
        <v>2421</v>
      </c>
      <c r="P302" t="s">
        <v>2293</v>
      </c>
      <c r="Q302" t="s">
        <v>370</v>
      </c>
    </row>
    <row r="303" spans="1:17" ht="14.25" customHeight="1" x14ac:dyDescent="0.2">
      <c r="A303" s="578" t="s">
        <v>2448</v>
      </c>
      <c r="B303" s="110">
        <f t="shared" si="3"/>
        <v>12.450000000000001</v>
      </c>
      <c r="C303" s="575">
        <v>45978</v>
      </c>
      <c r="D303" s="569">
        <v>45980</v>
      </c>
      <c r="E303" s="569">
        <v>45980</v>
      </c>
      <c r="F303" t="s">
        <v>776</v>
      </c>
      <c r="G303" t="s">
        <v>370</v>
      </c>
      <c r="H303" t="s">
        <v>367</v>
      </c>
      <c r="I303" t="s">
        <v>368</v>
      </c>
      <c r="J303" t="s">
        <v>2319</v>
      </c>
      <c r="K303" t="s">
        <v>2325</v>
      </c>
      <c r="L303" t="s">
        <v>2326</v>
      </c>
      <c r="M303" t="s">
        <v>2422</v>
      </c>
      <c r="N303" t="s">
        <v>741</v>
      </c>
      <c r="O303" t="s">
        <v>2423</v>
      </c>
      <c r="P303" t="s">
        <v>2293</v>
      </c>
      <c r="Q303" t="s">
        <v>370</v>
      </c>
    </row>
    <row r="304" spans="1:17" ht="14.25" customHeight="1" x14ac:dyDescent="0.2">
      <c r="A304" s="578" t="s">
        <v>2448</v>
      </c>
      <c r="B304" s="110">
        <f t="shared" si="3"/>
        <v>12.3</v>
      </c>
      <c r="C304" s="575">
        <v>45978</v>
      </c>
      <c r="D304" s="569">
        <v>45980</v>
      </c>
      <c r="E304" s="569">
        <v>45980</v>
      </c>
      <c r="F304" t="s">
        <v>893</v>
      </c>
      <c r="G304" t="s">
        <v>370</v>
      </c>
      <c r="H304" t="s">
        <v>367</v>
      </c>
      <c r="I304" t="s">
        <v>368</v>
      </c>
      <c r="J304" t="s">
        <v>2319</v>
      </c>
      <c r="K304" t="s">
        <v>2424</v>
      </c>
      <c r="L304" t="s">
        <v>2259</v>
      </c>
      <c r="M304" t="s">
        <v>2425</v>
      </c>
      <c r="N304" t="s">
        <v>741</v>
      </c>
      <c r="O304" t="s">
        <v>2426</v>
      </c>
      <c r="P304" t="s">
        <v>2293</v>
      </c>
      <c r="Q304" t="s">
        <v>370</v>
      </c>
    </row>
    <row r="305" spans="1:17" ht="14.25" customHeight="1" x14ac:dyDescent="0.2">
      <c r="A305" s="578" t="s">
        <v>1461</v>
      </c>
      <c r="B305" s="110">
        <f t="shared" si="3"/>
        <v>3.6</v>
      </c>
      <c r="C305" s="575">
        <v>45978</v>
      </c>
      <c r="D305" s="569">
        <v>45980</v>
      </c>
      <c r="E305" s="569">
        <v>45980</v>
      </c>
      <c r="F305" t="s">
        <v>743</v>
      </c>
      <c r="G305" t="s">
        <v>370</v>
      </c>
      <c r="H305" t="s">
        <v>367</v>
      </c>
      <c r="I305" t="s">
        <v>368</v>
      </c>
      <c r="J305" t="s">
        <v>1776</v>
      </c>
      <c r="K305" t="s">
        <v>1399</v>
      </c>
      <c r="L305" t="s">
        <v>1777</v>
      </c>
      <c r="M305" t="s">
        <v>2427</v>
      </c>
      <c r="N305" t="s">
        <v>747</v>
      </c>
      <c r="O305" t="s">
        <v>2428</v>
      </c>
      <c r="P305" t="s">
        <v>2293</v>
      </c>
      <c r="Q305" t="s">
        <v>370</v>
      </c>
    </row>
    <row r="306" spans="1:17" ht="14.25" customHeight="1" x14ac:dyDescent="0.2">
      <c r="A306" s="578" t="s">
        <v>1461</v>
      </c>
      <c r="B306" s="110">
        <f t="shared" si="3"/>
        <v>3.6</v>
      </c>
      <c r="C306" s="575">
        <v>45978</v>
      </c>
      <c r="D306" s="569">
        <v>45980</v>
      </c>
      <c r="E306" s="569">
        <v>45980</v>
      </c>
      <c r="F306" t="s">
        <v>2429</v>
      </c>
      <c r="G306" t="s">
        <v>370</v>
      </c>
      <c r="H306" t="s">
        <v>367</v>
      </c>
      <c r="I306" t="s">
        <v>368</v>
      </c>
      <c r="J306" t="s">
        <v>1776</v>
      </c>
      <c r="K306" t="s">
        <v>1399</v>
      </c>
      <c r="L306" t="s">
        <v>1777</v>
      </c>
      <c r="M306" t="s">
        <v>2430</v>
      </c>
      <c r="N306" t="s">
        <v>747</v>
      </c>
      <c r="O306" t="s">
        <v>2431</v>
      </c>
      <c r="P306" t="s">
        <v>2293</v>
      </c>
      <c r="Q306" t="s">
        <v>370</v>
      </c>
    </row>
    <row r="307" spans="1:17" ht="14.25" customHeight="1" x14ac:dyDescent="0.2">
      <c r="A307" s="578" t="s">
        <v>1462</v>
      </c>
      <c r="B307" s="110">
        <f t="shared" si="3"/>
        <v>5.59</v>
      </c>
      <c r="C307" s="575">
        <v>45978</v>
      </c>
      <c r="D307" s="569">
        <v>45980</v>
      </c>
      <c r="E307" s="569">
        <v>45980</v>
      </c>
      <c r="F307" t="s">
        <v>2432</v>
      </c>
      <c r="G307" t="s">
        <v>370</v>
      </c>
      <c r="H307" t="s">
        <v>367</v>
      </c>
      <c r="I307" t="s">
        <v>368</v>
      </c>
      <c r="J307" t="s">
        <v>1412</v>
      </c>
      <c r="K307" t="s">
        <v>1413</v>
      </c>
      <c r="L307" t="s">
        <v>1414</v>
      </c>
      <c r="M307" t="s">
        <v>2433</v>
      </c>
      <c r="N307" t="s">
        <v>741</v>
      </c>
      <c r="O307" t="s">
        <v>2434</v>
      </c>
      <c r="P307" t="s">
        <v>2293</v>
      </c>
      <c r="Q307" t="s">
        <v>370</v>
      </c>
    </row>
    <row r="308" spans="1:17" ht="14.25" customHeight="1" x14ac:dyDescent="0.2">
      <c r="A308" s="578" t="s">
        <v>1461</v>
      </c>
      <c r="B308" s="110">
        <f t="shared" si="3"/>
        <v>3.6</v>
      </c>
      <c r="C308" s="575">
        <v>45978</v>
      </c>
      <c r="D308" s="569">
        <v>45980</v>
      </c>
      <c r="E308" s="569">
        <v>45980</v>
      </c>
      <c r="F308" t="s">
        <v>2435</v>
      </c>
      <c r="G308" t="s">
        <v>370</v>
      </c>
      <c r="H308" t="s">
        <v>367</v>
      </c>
      <c r="I308" t="s">
        <v>368</v>
      </c>
      <c r="J308" t="s">
        <v>1776</v>
      </c>
      <c r="K308" t="s">
        <v>1399</v>
      </c>
      <c r="L308" t="s">
        <v>1777</v>
      </c>
      <c r="M308" t="s">
        <v>2436</v>
      </c>
      <c r="N308" t="s">
        <v>747</v>
      </c>
      <c r="O308" t="s">
        <v>2437</v>
      </c>
      <c r="P308" t="s">
        <v>2293</v>
      </c>
      <c r="Q308" t="s">
        <v>370</v>
      </c>
    </row>
    <row r="309" spans="1:17" ht="14.25" customHeight="1" x14ac:dyDescent="0.2">
      <c r="A309" s="578" t="s">
        <v>1461</v>
      </c>
      <c r="B309" s="110">
        <f t="shared" si="3"/>
        <v>3.64</v>
      </c>
      <c r="C309" s="575">
        <v>45978</v>
      </c>
      <c r="D309" s="569">
        <v>45980</v>
      </c>
      <c r="E309" s="569">
        <v>45980</v>
      </c>
      <c r="F309" t="s">
        <v>1604</v>
      </c>
      <c r="G309" t="s">
        <v>1605</v>
      </c>
      <c r="H309" t="s">
        <v>367</v>
      </c>
      <c r="I309" t="s">
        <v>368</v>
      </c>
      <c r="J309" t="s">
        <v>1398</v>
      </c>
      <c r="K309" t="s">
        <v>1417</v>
      </c>
      <c r="L309" t="s">
        <v>1418</v>
      </c>
      <c r="M309" t="s">
        <v>2438</v>
      </c>
      <c r="N309" t="s">
        <v>369</v>
      </c>
      <c r="O309" t="s">
        <v>2439</v>
      </c>
      <c r="P309" t="s">
        <v>2293</v>
      </c>
      <c r="Q309" t="s">
        <v>370</v>
      </c>
    </row>
    <row r="310" spans="1:17" ht="14.25" customHeight="1" x14ac:dyDescent="0.2">
      <c r="A310" s="578" t="s">
        <v>1462</v>
      </c>
      <c r="B310" s="110">
        <f t="shared" si="3"/>
        <v>5.59</v>
      </c>
      <c r="C310" s="575">
        <v>45978</v>
      </c>
      <c r="D310" s="569">
        <v>45980</v>
      </c>
      <c r="E310" s="569">
        <v>45980</v>
      </c>
      <c r="F310" t="s">
        <v>1214</v>
      </c>
      <c r="G310" t="s">
        <v>370</v>
      </c>
      <c r="H310" t="s">
        <v>367</v>
      </c>
      <c r="I310" t="s">
        <v>368</v>
      </c>
      <c r="J310" t="s">
        <v>1412</v>
      </c>
      <c r="K310" t="s">
        <v>1413</v>
      </c>
      <c r="L310" t="s">
        <v>1414</v>
      </c>
      <c r="M310" t="s">
        <v>2440</v>
      </c>
      <c r="N310" t="s">
        <v>741</v>
      </c>
      <c r="O310" t="s">
        <v>2441</v>
      </c>
      <c r="P310" t="s">
        <v>2293</v>
      </c>
      <c r="Q310" t="s">
        <v>370</v>
      </c>
    </row>
    <row r="311" spans="1:17" ht="14.25" customHeight="1" x14ac:dyDescent="0.2">
      <c r="A311" s="578" t="s">
        <v>1461</v>
      </c>
      <c r="B311" s="110">
        <f t="shared" si="3"/>
        <v>3.62</v>
      </c>
      <c r="C311" s="575">
        <v>45978</v>
      </c>
      <c r="D311" s="569">
        <v>45980</v>
      </c>
      <c r="E311" s="569">
        <v>45980</v>
      </c>
      <c r="F311" t="s">
        <v>2442</v>
      </c>
      <c r="G311" t="s">
        <v>370</v>
      </c>
      <c r="H311" t="s">
        <v>367</v>
      </c>
      <c r="I311" t="s">
        <v>368</v>
      </c>
      <c r="J311" t="s">
        <v>1398</v>
      </c>
      <c r="K311" t="s">
        <v>1399</v>
      </c>
      <c r="L311" t="s">
        <v>1400</v>
      </c>
      <c r="M311" t="s">
        <v>2443</v>
      </c>
      <c r="N311" t="s">
        <v>747</v>
      </c>
      <c r="O311" t="s">
        <v>2444</v>
      </c>
      <c r="P311" t="s">
        <v>2293</v>
      </c>
      <c r="Q311" t="s">
        <v>370</v>
      </c>
    </row>
    <row r="312" spans="1:17" ht="14.25" customHeight="1" x14ac:dyDescent="0.2">
      <c r="A312" s="578" t="s">
        <v>1462</v>
      </c>
      <c r="B312" s="110">
        <f t="shared" si="3"/>
        <v>5.59</v>
      </c>
      <c r="C312" s="575">
        <v>45978</v>
      </c>
      <c r="D312" s="569">
        <v>45980</v>
      </c>
      <c r="E312" s="569">
        <v>45980</v>
      </c>
      <c r="F312" t="s">
        <v>1625</v>
      </c>
      <c r="G312" t="s">
        <v>370</v>
      </c>
      <c r="H312" t="s">
        <v>367</v>
      </c>
      <c r="I312" t="s">
        <v>368</v>
      </c>
      <c r="J312" t="s">
        <v>1412</v>
      </c>
      <c r="K312" t="s">
        <v>1413</v>
      </c>
      <c r="L312" t="s">
        <v>1414</v>
      </c>
      <c r="M312" t="s">
        <v>2445</v>
      </c>
      <c r="N312" t="s">
        <v>741</v>
      </c>
      <c r="O312" t="s">
        <v>2446</v>
      </c>
      <c r="P312" t="s">
        <v>2293</v>
      </c>
      <c r="Q312" t="s">
        <v>370</v>
      </c>
    </row>
    <row r="313" spans="1:17" ht="14.25" customHeight="1" x14ac:dyDescent="0.2">
      <c r="A313" s="584" t="s">
        <v>2447</v>
      </c>
      <c r="B313" s="110">
        <f t="shared" si="3"/>
        <v>9.4500000000000011</v>
      </c>
      <c r="C313" s="575">
        <v>45979</v>
      </c>
      <c r="D313" s="569">
        <v>45981</v>
      </c>
      <c r="E313" s="569">
        <v>45981</v>
      </c>
      <c r="F313" t="s">
        <v>366</v>
      </c>
      <c r="G313" t="s">
        <v>370</v>
      </c>
      <c r="H313" t="s">
        <v>367</v>
      </c>
      <c r="I313" t="s">
        <v>368</v>
      </c>
      <c r="J313" t="s">
        <v>2288</v>
      </c>
      <c r="K313" t="s">
        <v>2353</v>
      </c>
      <c r="L313" t="s">
        <v>2354</v>
      </c>
      <c r="M313" t="s">
        <v>2449</v>
      </c>
      <c r="N313" t="s">
        <v>747</v>
      </c>
      <c r="O313" t="s">
        <v>2450</v>
      </c>
      <c r="P313" t="s">
        <v>2451</v>
      </c>
      <c r="Q313" t="s">
        <v>370</v>
      </c>
    </row>
    <row r="314" spans="1:17" ht="14.25" customHeight="1" x14ac:dyDescent="0.2">
      <c r="A314" s="578" t="s">
        <v>1461</v>
      </c>
      <c r="B314" s="110">
        <f t="shared" si="3"/>
        <v>3.62</v>
      </c>
      <c r="C314" s="575">
        <v>45979</v>
      </c>
      <c r="D314" s="569">
        <v>45981</v>
      </c>
      <c r="E314" s="569">
        <v>45981</v>
      </c>
      <c r="F314" t="s">
        <v>1943</v>
      </c>
      <c r="G314" t="s">
        <v>370</v>
      </c>
      <c r="H314" t="s">
        <v>367</v>
      </c>
      <c r="I314" t="s">
        <v>368</v>
      </c>
      <c r="J314" t="s">
        <v>1776</v>
      </c>
      <c r="K314" t="s">
        <v>1417</v>
      </c>
      <c r="L314" t="s">
        <v>1400</v>
      </c>
      <c r="M314" t="s">
        <v>2452</v>
      </c>
      <c r="N314" t="s">
        <v>741</v>
      </c>
      <c r="O314" t="s">
        <v>2453</v>
      </c>
      <c r="P314" t="s">
        <v>2451</v>
      </c>
      <c r="Q314" t="s">
        <v>370</v>
      </c>
    </row>
    <row r="315" spans="1:17" ht="14.25" customHeight="1" x14ac:dyDescent="0.2">
      <c r="A315" s="578" t="s">
        <v>1461</v>
      </c>
      <c r="B315" s="110">
        <f t="shared" si="3"/>
        <v>3.62</v>
      </c>
      <c r="C315" s="575">
        <v>45979</v>
      </c>
      <c r="D315" s="569">
        <v>45981</v>
      </c>
      <c r="E315" s="569">
        <v>45981</v>
      </c>
      <c r="F315" t="s">
        <v>1601</v>
      </c>
      <c r="G315" t="s">
        <v>370</v>
      </c>
      <c r="H315" t="s">
        <v>367</v>
      </c>
      <c r="I315" t="s">
        <v>368</v>
      </c>
      <c r="J315" t="s">
        <v>1776</v>
      </c>
      <c r="K315" t="s">
        <v>1417</v>
      </c>
      <c r="L315" t="s">
        <v>1400</v>
      </c>
      <c r="M315" t="s">
        <v>2454</v>
      </c>
      <c r="N315" t="s">
        <v>741</v>
      </c>
      <c r="O315" t="s">
        <v>2455</v>
      </c>
      <c r="P315" t="s">
        <v>2451</v>
      </c>
      <c r="Q315" t="s">
        <v>370</v>
      </c>
    </row>
    <row r="316" spans="1:17" ht="14.25" customHeight="1" x14ac:dyDescent="0.2">
      <c r="A316" s="578" t="s">
        <v>1461</v>
      </c>
      <c r="B316" s="110">
        <f t="shared" si="3"/>
        <v>3.6</v>
      </c>
      <c r="C316" s="575">
        <v>45979</v>
      </c>
      <c r="D316" s="569">
        <v>45981</v>
      </c>
      <c r="E316" s="569">
        <v>45981</v>
      </c>
      <c r="F316" t="s">
        <v>1131</v>
      </c>
      <c r="G316" t="s">
        <v>370</v>
      </c>
      <c r="H316" t="s">
        <v>367</v>
      </c>
      <c r="I316" t="s">
        <v>368</v>
      </c>
      <c r="J316" t="s">
        <v>1776</v>
      </c>
      <c r="K316" t="s">
        <v>1399</v>
      </c>
      <c r="L316" t="s">
        <v>1777</v>
      </c>
      <c r="M316" t="s">
        <v>2456</v>
      </c>
      <c r="N316" t="s">
        <v>747</v>
      </c>
      <c r="O316" t="s">
        <v>2457</v>
      </c>
      <c r="P316" t="s">
        <v>2451</v>
      </c>
      <c r="Q316" t="s">
        <v>370</v>
      </c>
    </row>
    <row r="317" spans="1:17" ht="14.25" customHeight="1" x14ac:dyDescent="0.2">
      <c r="A317" s="578" t="s">
        <v>1461</v>
      </c>
      <c r="B317" s="110">
        <f t="shared" si="3"/>
        <v>3.6</v>
      </c>
      <c r="C317" s="575">
        <v>45979</v>
      </c>
      <c r="D317" s="569">
        <v>45981</v>
      </c>
      <c r="E317" s="569">
        <v>45981</v>
      </c>
      <c r="F317" t="s">
        <v>1121</v>
      </c>
      <c r="G317" t="s">
        <v>370</v>
      </c>
      <c r="H317" t="s">
        <v>367</v>
      </c>
      <c r="I317" t="s">
        <v>368</v>
      </c>
      <c r="J317" t="s">
        <v>1776</v>
      </c>
      <c r="K317" t="s">
        <v>1399</v>
      </c>
      <c r="L317" t="s">
        <v>1777</v>
      </c>
      <c r="M317" t="s">
        <v>2458</v>
      </c>
      <c r="N317" t="s">
        <v>747</v>
      </c>
      <c r="O317" t="s">
        <v>2459</v>
      </c>
      <c r="P317" t="s">
        <v>2451</v>
      </c>
      <c r="Q317" t="s">
        <v>370</v>
      </c>
    </row>
    <row r="318" spans="1:17" ht="14.25" customHeight="1" x14ac:dyDescent="0.2">
      <c r="A318" s="578" t="s">
        <v>1461</v>
      </c>
      <c r="B318" s="110">
        <f t="shared" si="3"/>
        <v>3.62</v>
      </c>
      <c r="C318" s="575">
        <v>45979</v>
      </c>
      <c r="D318" s="569">
        <v>45981</v>
      </c>
      <c r="E318" s="569">
        <v>45981</v>
      </c>
      <c r="F318" t="s">
        <v>971</v>
      </c>
      <c r="G318" t="s">
        <v>370</v>
      </c>
      <c r="H318" t="s">
        <v>367</v>
      </c>
      <c r="I318" t="s">
        <v>368</v>
      </c>
      <c r="J318" t="s">
        <v>1776</v>
      </c>
      <c r="K318" t="s">
        <v>1417</v>
      </c>
      <c r="L318" t="s">
        <v>1400</v>
      </c>
      <c r="M318" t="s">
        <v>2460</v>
      </c>
      <c r="N318" t="s">
        <v>741</v>
      </c>
      <c r="O318" t="s">
        <v>2461</v>
      </c>
      <c r="P318" t="s">
        <v>2451</v>
      </c>
      <c r="Q318" t="s">
        <v>370</v>
      </c>
    </row>
    <row r="319" spans="1:17" ht="14.25" customHeight="1" x14ac:dyDescent="0.2">
      <c r="A319" s="578" t="s">
        <v>1461</v>
      </c>
      <c r="B319" s="110">
        <f t="shared" si="3"/>
        <v>3.62</v>
      </c>
      <c r="C319" s="575">
        <v>45979</v>
      </c>
      <c r="D319" s="569">
        <v>45981</v>
      </c>
      <c r="E319" s="569">
        <v>45981</v>
      </c>
      <c r="F319" t="s">
        <v>1633</v>
      </c>
      <c r="G319" t="s">
        <v>370</v>
      </c>
      <c r="H319" t="s">
        <v>367</v>
      </c>
      <c r="I319" t="s">
        <v>368</v>
      </c>
      <c r="J319" t="s">
        <v>1776</v>
      </c>
      <c r="K319" t="s">
        <v>1417</v>
      </c>
      <c r="L319" t="s">
        <v>1400</v>
      </c>
      <c r="M319" t="s">
        <v>2462</v>
      </c>
      <c r="N319" t="s">
        <v>741</v>
      </c>
      <c r="O319" t="s">
        <v>2463</v>
      </c>
      <c r="P319" t="s">
        <v>2451</v>
      </c>
      <c r="Q319" t="s">
        <v>370</v>
      </c>
    </row>
    <row r="320" spans="1:17" ht="14.25" customHeight="1" x14ac:dyDescent="0.2">
      <c r="A320" s="578" t="s">
        <v>1461</v>
      </c>
      <c r="B320" s="110">
        <f t="shared" si="3"/>
        <v>3.62</v>
      </c>
      <c r="C320" s="575">
        <v>45979</v>
      </c>
      <c r="D320" s="569">
        <v>45981</v>
      </c>
      <c r="E320" s="569">
        <v>45981</v>
      </c>
      <c r="F320" t="s">
        <v>952</v>
      </c>
      <c r="G320" t="s">
        <v>370</v>
      </c>
      <c r="H320" t="s">
        <v>367</v>
      </c>
      <c r="I320" t="s">
        <v>368</v>
      </c>
      <c r="J320" t="s">
        <v>1776</v>
      </c>
      <c r="K320" t="s">
        <v>1417</v>
      </c>
      <c r="L320" t="s">
        <v>1400</v>
      </c>
      <c r="M320" t="s">
        <v>2464</v>
      </c>
      <c r="N320" t="s">
        <v>741</v>
      </c>
      <c r="O320" t="s">
        <v>2465</v>
      </c>
      <c r="P320" t="s">
        <v>2451</v>
      </c>
      <c r="Q320" t="s">
        <v>370</v>
      </c>
    </row>
    <row r="321" spans="1:17" ht="14.25" customHeight="1" x14ac:dyDescent="0.2">
      <c r="A321" s="578" t="s">
        <v>1462</v>
      </c>
      <c r="B321" s="110">
        <f t="shared" si="3"/>
        <v>5.59</v>
      </c>
      <c r="C321" s="575">
        <v>45979</v>
      </c>
      <c r="D321" s="569">
        <v>45981</v>
      </c>
      <c r="E321" s="569">
        <v>45981</v>
      </c>
      <c r="F321" t="s">
        <v>2466</v>
      </c>
      <c r="G321" t="s">
        <v>370</v>
      </c>
      <c r="H321" t="s">
        <v>367</v>
      </c>
      <c r="I321" t="s">
        <v>368</v>
      </c>
      <c r="J321" t="s">
        <v>1412</v>
      </c>
      <c r="K321" t="s">
        <v>1413</v>
      </c>
      <c r="L321" t="s">
        <v>1414</v>
      </c>
      <c r="M321" t="s">
        <v>2467</v>
      </c>
      <c r="N321" t="s">
        <v>741</v>
      </c>
      <c r="O321" t="s">
        <v>2468</v>
      </c>
      <c r="P321" t="s">
        <v>2451</v>
      </c>
      <c r="Q321" t="s">
        <v>370</v>
      </c>
    </row>
    <row r="322" spans="1:17" ht="14.25" customHeight="1" x14ac:dyDescent="0.2">
      <c r="A322" s="578" t="s">
        <v>1461</v>
      </c>
      <c r="B322" s="110">
        <f t="shared" si="3"/>
        <v>3.6</v>
      </c>
      <c r="C322" s="575">
        <v>45979</v>
      </c>
      <c r="D322" s="569">
        <v>45981</v>
      </c>
      <c r="E322" s="569">
        <v>45981</v>
      </c>
      <c r="F322" t="s">
        <v>1659</v>
      </c>
      <c r="G322" t="s">
        <v>370</v>
      </c>
      <c r="H322" t="s">
        <v>367</v>
      </c>
      <c r="I322" t="s">
        <v>368</v>
      </c>
      <c r="J322" t="s">
        <v>1776</v>
      </c>
      <c r="K322" t="s">
        <v>1399</v>
      </c>
      <c r="L322" t="s">
        <v>1777</v>
      </c>
      <c r="M322" t="s">
        <v>2469</v>
      </c>
      <c r="N322" t="s">
        <v>747</v>
      </c>
      <c r="O322" t="s">
        <v>2470</v>
      </c>
      <c r="P322" t="s">
        <v>2451</v>
      </c>
      <c r="Q322" t="s">
        <v>370</v>
      </c>
    </row>
    <row r="323" spans="1:17" ht="14.25" customHeight="1" x14ac:dyDescent="0.2">
      <c r="A323" s="578" t="s">
        <v>1461</v>
      </c>
      <c r="B323" s="110">
        <f t="shared" si="3"/>
        <v>3.62</v>
      </c>
      <c r="C323" s="575">
        <v>45979</v>
      </c>
      <c r="D323" s="569">
        <v>45981</v>
      </c>
      <c r="E323" s="569">
        <v>45981</v>
      </c>
      <c r="F323" t="s">
        <v>1265</v>
      </c>
      <c r="G323" t="s">
        <v>370</v>
      </c>
      <c r="H323" t="s">
        <v>367</v>
      </c>
      <c r="I323" t="s">
        <v>368</v>
      </c>
      <c r="J323" t="s">
        <v>1776</v>
      </c>
      <c r="K323" t="s">
        <v>1417</v>
      </c>
      <c r="L323" t="s">
        <v>1400</v>
      </c>
      <c r="M323" t="s">
        <v>2471</v>
      </c>
      <c r="N323" t="s">
        <v>741</v>
      </c>
      <c r="O323" t="s">
        <v>2472</v>
      </c>
      <c r="P323" t="s">
        <v>2451</v>
      </c>
      <c r="Q323" t="s">
        <v>370</v>
      </c>
    </row>
    <row r="324" spans="1:17" ht="14.25" customHeight="1" x14ac:dyDescent="0.2">
      <c r="A324" s="578" t="s">
        <v>1462</v>
      </c>
      <c r="B324" s="110">
        <f t="shared" si="3"/>
        <v>12.370000000000001</v>
      </c>
      <c r="C324" s="575">
        <v>45979</v>
      </c>
      <c r="D324" s="569">
        <v>45981</v>
      </c>
      <c r="E324" s="569">
        <v>45981</v>
      </c>
      <c r="F324" t="s">
        <v>1659</v>
      </c>
      <c r="G324" t="s">
        <v>370</v>
      </c>
      <c r="H324" t="s">
        <v>367</v>
      </c>
      <c r="I324" t="s">
        <v>368</v>
      </c>
      <c r="J324" t="s">
        <v>2319</v>
      </c>
      <c r="K324" t="s">
        <v>2320</v>
      </c>
      <c r="L324" t="s">
        <v>2321</v>
      </c>
      <c r="M324" t="s">
        <v>2473</v>
      </c>
      <c r="N324" t="s">
        <v>747</v>
      </c>
      <c r="O324" t="s">
        <v>2474</v>
      </c>
      <c r="P324" t="s">
        <v>2451</v>
      </c>
      <c r="Q324" t="s">
        <v>370</v>
      </c>
    </row>
    <row r="325" spans="1:17" ht="14.25" customHeight="1" x14ac:dyDescent="0.2">
      <c r="A325" s="578" t="s">
        <v>1462</v>
      </c>
      <c r="B325" s="110">
        <f t="shared" si="3"/>
        <v>12.370000000000001</v>
      </c>
      <c r="C325" s="575">
        <v>45979</v>
      </c>
      <c r="D325" s="569">
        <v>45981</v>
      </c>
      <c r="E325" s="569">
        <v>45981</v>
      </c>
      <c r="F325" t="s">
        <v>2475</v>
      </c>
      <c r="G325" t="s">
        <v>370</v>
      </c>
      <c r="H325" t="s">
        <v>367</v>
      </c>
      <c r="I325" t="s">
        <v>368</v>
      </c>
      <c r="J325" t="s">
        <v>2319</v>
      </c>
      <c r="K325" t="s">
        <v>2320</v>
      </c>
      <c r="L325" t="s">
        <v>2321</v>
      </c>
      <c r="M325" t="s">
        <v>2476</v>
      </c>
      <c r="N325" t="s">
        <v>747</v>
      </c>
      <c r="O325" t="s">
        <v>2477</v>
      </c>
      <c r="P325" t="s">
        <v>2451</v>
      </c>
      <c r="Q325" t="s">
        <v>370</v>
      </c>
    </row>
    <row r="326" spans="1:17" ht="14.25" customHeight="1" x14ac:dyDescent="0.2">
      <c r="A326" s="578" t="s">
        <v>1462</v>
      </c>
      <c r="B326" s="110">
        <f t="shared" si="3"/>
        <v>12.450000000000001</v>
      </c>
      <c r="C326" s="575">
        <v>45979</v>
      </c>
      <c r="D326" s="569">
        <v>45981</v>
      </c>
      <c r="E326" s="569">
        <v>45981</v>
      </c>
      <c r="F326" t="s">
        <v>2478</v>
      </c>
      <c r="G326" t="s">
        <v>370</v>
      </c>
      <c r="H326" t="s">
        <v>367</v>
      </c>
      <c r="I326" t="s">
        <v>368</v>
      </c>
      <c r="J326" t="s">
        <v>2319</v>
      </c>
      <c r="K326" t="s">
        <v>2325</v>
      </c>
      <c r="L326" t="s">
        <v>2326</v>
      </c>
      <c r="M326" t="s">
        <v>2479</v>
      </c>
      <c r="N326" t="s">
        <v>741</v>
      </c>
      <c r="O326" t="s">
        <v>2480</v>
      </c>
      <c r="P326" t="s">
        <v>2451</v>
      </c>
      <c r="Q326" t="s">
        <v>370</v>
      </c>
    </row>
    <row r="327" spans="1:17" ht="14.25" customHeight="1" x14ac:dyDescent="0.2">
      <c r="A327" s="580" t="s">
        <v>178</v>
      </c>
      <c r="B327" s="110">
        <f t="shared" si="3"/>
        <v>2.61</v>
      </c>
      <c r="C327" s="575">
        <v>45993</v>
      </c>
      <c r="D327" s="569">
        <v>45995</v>
      </c>
      <c r="E327" s="569">
        <v>45995</v>
      </c>
      <c r="F327" t="s">
        <v>1220</v>
      </c>
      <c r="G327" t="s">
        <v>370</v>
      </c>
      <c r="H327" t="s">
        <v>367</v>
      </c>
      <c r="I327" t="s">
        <v>368</v>
      </c>
      <c r="J327" t="s">
        <v>1580</v>
      </c>
      <c r="K327" t="s">
        <v>1690</v>
      </c>
      <c r="L327" t="s">
        <v>1691</v>
      </c>
      <c r="M327" t="s">
        <v>2485</v>
      </c>
      <c r="N327" t="s">
        <v>741</v>
      </c>
      <c r="O327" t="s">
        <v>2486</v>
      </c>
      <c r="P327" t="s">
        <v>2487</v>
      </c>
      <c r="Q327" t="s">
        <v>370</v>
      </c>
    </row>
    <row r="328" spans="1:17" ht="14.25" customHeight="1" x14ac:dyDescent="0.2">
      <c r="A328" s="580" t="s">
        <v>178</v>
      </c>
      <c r="B328" s="110">
        <f t="shared" si="3"/>
        <v>2.64</v>
      </c>
      <c r="C328" s="575">
        <v>45993</v>
      </c>
      <c r="D328" s="569">
        <v>45995</v>
      </c>
      <c r="E328" s="569">
        <v>45995</v>
      </c>
      <c r="F328" t="s">
        <v>2488</v>
      </c>
      <c r="G328" t="s">
        <v>370</v>
      </c>
      <c r="H328" t="s">
        <v>367</v>
      </c>
      <c r="I328" t="s">
        <v>368</v>
      </c>
      <c r="J328" t="s">
        <v>1580</v>
      </c>
      <c r="K328" t="s">
        <v>1586</v>
      </c>
      <c r="L328" t="s">
        <v>1587</v>
      </c>
      <c r="M328" t="s">
        <v>2489</v>
      </c>
      <c r="N328" t="s">
        <v>741</v>
      </c>
      <c r="O328" t="s">
        <v>2490</v>
      </c>
      <c r="P328" t="s">
        <v>2487</v>
      </c>
      <c r="Q328" t="s">
        <v>370</v>
      </c>
    </row>
    <row r="329" spans="1:17" ht="14.25" customHeight="1" x14ac:dyDescent="0.2">
      <c r="A329" s="580" t="s">
        <v>178</v>
      </c>
      <c r="B329" s="110">
        <f t="shared" si="3"/>
        <v>2.64</v>
      </c>
      <c r="C329" s="575">
        <v>45993</v>
      </c>
      <c r="D329" s="569">
        <v>45995</v>
      </c>
      <c r="E329" s="569">
        <v>45995</v>
      </c>
      <c r="F329" t="s">
        <v>2491</v>
      </c>
      <c r="G329" t="s">
        <v>2491</v>
      </c>
      <c r="H329" t="s">
        <v>367</v>
      </c>
      <c r="I329" t="s">
        <v>368</v>
      </c>
      <c r="J329" t="s">
        <v>1580</v>
      </c>
      <c r="K329" t="s">
        <v>1586</v>
      </c>
      <c r="L329" t="s">
        <v>1587</v>
      </c>
      <c r="M329" t="s">
        <v>2492</v>
      </c>
      <c r="N329" t="s">
        <v>369</v>
      </c>
      <c r="O329" t="s">
        <v>2493</v>
      </c>
      <c r="P329" t="s">
        <v>2487</v>
      </c>
      <c r="Q329" t="s">
        <v>370</v>
      </c>
    </row>
    <row r="330" spans="1:17" ht="14.25" customHeight="1" x14ac:dyDescent="0.2">
      <c r="A330" s="580" t="s">
        <v>178</v>
      </c>
      <c r="B330" s="110">
        <f t="shared" si="3"/>
        <v>2.62</v>
      </c>
      <c r="C330" s="575">
        <v>45993</v>
      </c>
      <c r="D330" s="569">
        <v>45995</v>
      </c>
      <c r="E330" s="569">
        <v>45995</v>
      </c>
      <c r="F330" t="s">
        <v>1031</v>
      </c>
      <c r="G330" t="s">
        <v>370</v>
      </c>
      <c r="H330" t="s">
        <v>367</v>
      </c>
      <c r="I330" t="s">
        <v>368</v>
      </c>
      <c r="J330" t="s">
        <v>1580</v>
      </c>
      <c r="K330" t="s">
        <v>1581</v>
      </c>
      <c r="L330" t="s">
        <v>1582</v>
      </c>
      <c r="M330" t="s">
        <v>2494</v>
      </c>
      <c r="N330" t="s">
        <v>747</v>
      </c>
      <c r="O330" t="s">
        <v>2495</v>
      </c>
      <c r="P330" t="s">
        <v>2487</v>
      </c>
      <c r="Q330" t="s">
        <v>370</v>
      </c>
    </row>
    <row r="331" spans="1:17" ht="14.25" customHeight="1" x14ac:dyDescent="0.2">
      <c r="A331" s="580" t="s">
        <v>178</v>
      </c>
      <c r="B331" s="110">
        <f t="shared" si="3"/>
        <v>2.64</v>
      </c>
      <c r="C331" s="575">
        <v>45993</v>
      </c>
      <c r="D331" s="569">
        <v>45995</v>
      </c>
      <c r="E331" s="569">
        <v>45995</v>
      </c>
      <c r="F331" t="s">
        <v>1173</v>
      </c>
      <c r="G331" t="s">
        <v>370</v>
      </c>
      <c r="H331" t="s">
        <v>367</v>
      </c>
      <c r="I331" t="s">
        <v>368</v>
      </c>
      <c r="J331" t="s">
        <v>1580</v>
      </c>
      <c r="K331" t="s">
        <v>1586</v>
      </c>
      <c r="L331" t="s">
        <v>1587</v>
      </c>
      <c r="M331" t="s">
        <v>2496</v>
      </c>
      <c r="N331" t="s">
        <v>741</v>
      </c>
      <c r="O331" t="s">
        <v>2497</v>
      </c>
      <c r="P331" t="s">
        <v>2487</v>
      </c>
      <c r="Q331" t="s">
        <v>370</v>
      </c>
    </row>
    <row r="332" spans="1:17" ht="14.25" customHeight="1" x14ac:dyDescent="0.2">
      <c r="A332" s="580" t="s">
        <v>179</v>
      </c>
      <c r="B332" s="110">
        <f t="shared" si="3"/>
        <v>7.55</v>
      </c>
      <c r="C332" s="575">
        <v>45993</v>
      </c>
      <c r="D332" s="569">
        <v>45995</v>
      </c>
      <c r="E332" s="569">
        <v>45995</v>
      </c>
      <c r="F332" t="s">
        <v>962</v>
      </c>
      <c r="G332" t="s">
        <v>370</v>
      </c>
      <c r="H332" t="s">
        <v>367</v>
      </c>
      <c r="I332" t="s">
        <v>368</v>
      </c>
      <c r="J332" t="s">
        <v>1675</v>
      </c>
      <c r="K332" t="s">
        <v>744</v>
      </c>
      <c r="L332" t="s">
        <v>1676</v>
      </c>
      <c r="M332" t="s">
        <v>2498</v>
      </c>
      <c r="N332" t="s">
        <v>741</v>
      </c>
      <c r="O332" t="s">
        <v>2499</v>
      </c>
      <c r="P332" t="s">
        <v>2487</v>
      </c>
      <c r="Q332" t="s">
        <v>370</v>
      </c>
    </row>
    <row r="333" spans="1:17" ht="14.25" customHeight="1" x14ac:dyDescent="0.2">
      <c r="A333" s="578"/>
      <c r="B333" s="110">
        <f t="shared" si="3"/>
        <v>0</v>
      </c>
      <c r="C333" s="575"/>
      <c r="D333" s="569"/>
      <c r="E333" s="569"/>
    </row>
    <row r="334" spans="1:17" ht="14.25" customHeight="1" x14ac:dyDescent="0.2">
      <c r="B334" s="110">
        <f t="shared" si="3"/>
        <v>0</v>
      </c>
      <c r="C334" s="575"/>
      <c r="D334" s="569"/>
      <c r="E334" s="569"/>
    </row>
    <row r="335" spans="1:17" ht="14.25" customHeight="1" x14ac:dyDescent="0.2">
      <c r="A335" s="580" t="s">
        <v>178</v>
      </c>
      <c r="B335" s="110">
        <f t="shared" si="3"/>
        <v>2.64</v>
      </c>
      <c r="C335" s="575">
        <v>45994</v>
      </c>
      <c r="D335" s="569">
        <v>45996</v>
      </c>
      <c r="E335" s="569">
        <v>45996</v>
      </c>
      <c r="F335" t="s">
        <v>1642</v>
      </c>
      <c r="G335" t="s">
        <v>370</v>
      </c>
      <c r="H335" t="s">
        <v>367</v>
      </c>
      <c r="I335" t="s">
        <v>368</v>
      </c>
      <c r="J335" t="s">
        <v>1580</v>
      </c>
      <c r="K335" t="s">
        <v>1586</v>
      </c>
      <c r="L335" t="s">
        <v>1587</v>
      </c>
      <c r="M335" t="s">
        <v>1745</v>
      </c>
      <c r="N335" t="s">
        <v>741</v>
      </c>
      <c r="O335" t="s">
        <v>1746</v>
      </c>
      <c r="P335" t="s">
        <v>1747</v>
      </c>
      <c r="Q335" t="s">
        <v>370</v>
      </c>
    </row>
    <row r="336" spans="1:17" ht="14.25" customHeight="1" x14ac:dyDescent="0.2">
      <c r="A336" s="580" t="s">
        <v>178</v>
      </c>
      <c r="B336" s="110">
        <f t="shared" ref="B336" si="4">_xlfn.NUMBERVALUE(L336)*0.01</f>
        <v>2.64</v>
      </c>
      <c r="C336" s="575">
        <v>45994</v>
      </c>
      <c r="D336" s="569">
        <v>45996</v>
      </c>
      <c r="E336" s="569">
        <v>45996</v>
      </c>
      <c r="F336" t="s">
        <v>779</v>
      </c>
      <c r="G336" t="s">
        <v>370</v>
      </c>
      <c r="H336" t="s">
        <v>367</v>
      </c>
      <c r="I336" t="s">
        <v>368</v>
      </c>
      <c r="J336" t="s">
        <v>1580</v>
      </c>
      <c r="K336" t="s">
        <v>1586</v>
      </c>
      <c r="L336" t="s">
        <v>1587</v>
      </c>
      <c r="M336" t="s">
        <v>1748</v>
      </c>
      <c r="N336" t="s">
        <v>781</v>
      </c>
      <c r="O336" t="s">
        <v>1749</v>
      </c>
      <c r="P336" t="s">
        <v>1747</v>
      </c>
      <c r="Q336" t="s">
        <v>370</v>
      </c>
    </row>
    <row r="337" spans="1:17" ht="14.25" customHeight="1" x14ac:dyDescent="0.2">
      <c r="A337" s="580" t="s">
        <v>178</v>
      </c>
      <c r="B337" s="110">
        <f t="shared" ref="B337:B340" si="5">_xlfn.NUMBERVALUE(L337)*0.01</f>
        <v>2.64</v>
      </c>
      <c r="C337" s="575">
        <v>45994</v>
      </c>
      <c r="D337" s="569">
        <v>45996</v>
      </c>
      <c r="E337" s="569">
        <v>45996</v>
      </c>
      <c r="F337" t="s">
        <v>1750</v>
      </c>
      <c r="G337" t="s">
        <v>370</v>
      </c>
      <c r="H337" t="s">
        <v>367</v>
      </c>
      <c r="I337" t="s">
        <v>368</v>
      </c>
      <c r="J337" t="s">
        <v>1580</v>
      </c>
      <c r="K337" t="s">
        <v>1586</v>
      </c>
      <c r="L337" t="s">
        <v>1587</v>
      </c>
      <c r="M337" t="s">
        <v>1751</v>
      </c>
      <c r="N337" t="s">
        <v>741</v>
      </c>
      <c r="O337" t="s">
        <v>1752</v>
      </c>
      <c r="P337" t="s">
        <v>1747</v>
      </c>
      <c r="Q337" t="s">
        <v>370</v>
      </c>
    </row>
    <row r="338" spans="1:17" ht="14.25" customHeight="1" x14ac:dyDescent="0.2">
      <c r="A338" s="580" t="s">
        <v>178</v>
      </c>
      <c r="B338" s="110">
        <f t="shared" si="5"/>
        <v>2.64</v>
      </c>
      <c r="C338" s="575">
        <v>45994</v>
      </c>
      <c r="D338" s="569">
        <v>45996</v>
      </c>
      <c r="E338" s="569">
        <v>45996</v>
      </c>
      <c r="F338" t="s">
        <v>880</v>
      </c>
      <c r="G338" t="s">
        <v>370</v>
      </c>
      <c r="H338" t="s">
        <v>367</v>
      </c>
      <c r="I338" t="s">
        <v>368</v>
      </c>
      <c r="J338" t="s">
        <v>1580</v>
      </c>
      <c r="K338" t="s">
        <v>1586</v>
      </c>
      <c r="L338" t="s">
        <v>1587</v>
      </c>
      <c r="M338" t="s">
        <v>1753</v>
      </c>
      <c r="N338" t="s">
        <v>741</v>
      </c>
      <c r="O338" t="s">
        <v>1754</v>
      </c>
      <c r="P338" t="s">
        <v>1747</v>
      </c>
      <c r="Q338" t="s">
        <v>370</v>
      </c>
    </row>
    <row r="339" spans="1:17" ht="14.25" customHeight="1" x14ac:dyDescent="0.2">
      <c r="A339" s="580" t="s">
        <v>178</v>
      </c>
      <c r="B339" s="110">
        <f t="shared" si="5"/>
        <v>2.64</v>
      </c>
      <c r="C339" s="575">
        <v>45994</v>
      </c>
      <c r="D339" s="569">
        <v>45996</v>
      </c>
      <c r="E339" s="569">
        <v>45996</v>
      </c>
      <c r="F339" t="s">
        <v>797</v>
      </c>
      <c r="G339" t="s">
        <v>370</v>
      </c>
      <c r="H339" t="s">
        <v>367</v>
      </c>
      <c r="I339" t="s">
        <v>368</v>
      </c>
      <c r="J339" t="s">
        <v>1580</v>
      </c>
      <c r="K339" t="s">
        <v>1586</v>
      </c>
      <c r="L339" t="s">
        <v>1587</v>
      </c>
      <c r="M339" t="s">
        <v>1755</v>
      </c>
      <c r="N339" t="s">
        <v>741</v>
      </c>
      <c r="O339" t="s">
        <v>1756</v>
      </c>
      <c r="P339" t="s">
        <v>1747</v>
      </c>
      <c r="Q339" t="s">
        <v>370</v>
      </c>
    </row>
    <row r="340" spans="1:17" ht="14.25" customHeight="1" x14ac:dyDescent="0.2">
      <c r="B340" s="110">
        <f t="shared" si="5"/>
        <v>0</v>
      </c>
      <c r="C340" s="582"/>
      <c r="D340" s="583"/>
      <c r="E340" s="569"/>
    </row>
    <row r="341" spans="1:17" ht="14.25" customHeight="1" x14ac:dyDescent="0.2">
      <c r="A341" s="580" t="s">
        <v>178</v>
      </c>
      <c r="B341" s="110">
        <f t="shared" ref="B341" si="6">_xlfn.NUMBERVALUE(L341)*0.01</f>
        <v>2.64</v>
      </c>
      <c r="C341" s="575">
        <v>45995</v>
      </c>
      <c r="D341" s="569">
        <v>45999</v>
      </c>
      <c r="E341" s="569">
        <v>45999</v>
      </c>
      <c r="F341" t="s">
        <v>1666</v>
      </c>
      <c r="G341" t="s">
        <v>370</v>
      </c>
      <c r="H341" t="s">
        <v>367</v>
      </c>
      <c r="I341" t="s">
        <v>368</v>
      </c>
      <c r="J341" t="s">
        <v>1580</v>
      </c>
      <c r="K341" t="s">
        <v>1586</v>
      </c>
      <c r="L341" t="s">
        <v>1587</v>
      </c>
      <c r="M341" t="s">
        <v>1715</v>
      </c>
      <c r="N341" t="s">
        <v>741</v>
      </c>
      <c r="O341" t="s">
        <v>1716</v>
      </c>
      <c r="P341" t="s">
        <v>1717</v>
      </c>
      <c r="Q341" t="s">
        <v>370</v>
      </c>
    </row>
    <row r="342" spans="1:17" ht="14.25" customHeight="1" x14ac:dyDescent="0.2">
      <c r="A342" s="580" t="s">
        <v>178</v>
      </c>
      <c r="B342" s="110">
        <f t="shared" ref="B342:B405" si="7">_xlfn.NUMBERVALUE(L342)*0.01</f>
        <v>2.62</v>
      </c>
      <c r="C342" s="575">
        <v>45995</v>
      </c>
      <c r="D342" s="569">
        <v>45999</v>
      </c>
      <c r="E342" s="569">
        <v>45999</v>
      </c>
      <c r="F342" t="s">
        <v>1659</v>
      </c>
      <c r="G342" t="s">
        <v>370</v>
      </c>
      <c r="H342" t="s">
        <v>367</v>
      </c>
      <c r="I342" t="s">
        <v>368</v>
      </c>
      <c r="J342" t="s">
        <v>1580</v>
      </c>
      <c r="K342" t="s">
        <v>1581</v>
      </c>
      <c r="L342" t="s">
        <v>1582</v>
      </c>
      <c r="M342" t="s">
        <v>1718</v>
      </c>
      <c r="N342" t="s">
        <v>747</v>
      </c>
      <c r="O342" t="s">
        <v>1719</v>
      </c>
      <c r="P342" t="s">
        <v>1717</v>
      </c>
      <c r="Q342" t="s">
        <v>370</v>
      </c>
    </row>
    <row r="343" spans="1:17" ht="14.25" customHeight="1" x14ac:dyDescent="0.2">
      <c r="A343" s="580" t="s">
        <v>178</v>
      </c>
      <c r="B343" s="110">
        <f t="shared" si="7"/>
        <v>2.64</v>
      </c>
      <c r="C343" s="575">
        <v>45995</v>
      </c>
      <c r="D343" s="569">
        <v>45999</v>
      </c>
      <c r="E343" s="569">
        <v>45999</v>
      </c>
      <c r="F343" t="s">
        <v>807</v>
      </c>
      <c r="G343" t="s">
        <v>370</v>
      </c>
      <c r="H343" t="s">
        <v>367</v>
      </c>
      <c r="I343" t="s">
        <v>368</v>
      </c>
      <c r="J343" t="s">
        <v>1580</v>
      </c>
      <c r="K343" t="s">
        <v>1586</v>
      </c>
      <c r="L343" t="s">
        <v>1587</v>
      </c>
      <c r="M343" t="s">
        <v>1720</v>
      </c>
      <c r="N343" t="s">
        <v>741</v>
      </c>
      <c r="O343" t="s">
        <v>1721</v>
      </c>
      <c r="P343" t="s">
        <v>1717</v>
      </c>
      <c r="Q343" t="s">
        <v>370</v>
      </c>
    </row>
    <row r="344" spans="1:17" ht="14.25" customHeight="1" x14ac:dyDescent="0.2">
      <c r="A344" s="580" t="s">
        <v>178</v>
      </c>
      <c r="B344" s="110">
        <f t="shared" si="7"/>
        <v>2.64</v>
      </c>
      <c r="C344" s="575">
        <v>45995</v>
      </c>
      <c r="D344" s="569">
        <v>45999</v>
      </c>
      <c r="E344" s="569">
        <v>45999</v>
      </c>
      <c r="F344" t="s">
        <v>1722</v>
      </c>
      <c r="G344" t="s">
        <v>370</v>
      </c>
      <c r="H344" t="s">
        <v>367</v>
      </c>
      <c r="I344" t="s">
        <v>368</v>
      </c>
      <c r="J344" t="s">
        <v>1580</v>
      </c>
      <c r="K344" t="s">
        <v>1586</v>
      </c>
      <c r="L344" t="s">
        <v>1587</v>
      </c>
      <c r="M344" t="s">
        <v>1723</v>
      </c>
      <c r="N344" t="s">
        <v>741</v>
      </c>
      <c r="O344" t="s">
        <v>1724</v>
      </c>
      <c r="P344" t="s">
        <v>1717</v>
      </c>
      <c r="Q344" t="s">
        <v>370</v>
      </c>
    </row>
    <row r="345" spans="1:17" ht="14.25" customHeight="1" x14ac:dyDescent="0.2">
      <c r="A345" s="580" t="s">
        <v>179</v>
      </c>
      <c r="B345" s="110">
        <f t="shared" si="7"/>
        <v>4.6000000000000005</v>
      </c>
      <c r="C345" s="575">
        <v>45995</v>
      </c>
      <c r="D345" s="569">
        <v>45999</v>
      </c>
      <c r="E345" s="569">
        <v>45999</v>
      </c>
      <c r="F345" t="s">
        <v>856</v>
      </c>
      <c r="G345" t="s">
        <v>370</v>
      </c>
      <c r="H345" t="s">
        <v>367</v>
      </c>
      <c r="I345" t="s">
        <v>368</v>
      </c>
      <c r="J345" t="s">
        <v>1594</v>
      </c>
      <c r="K345" t="s">
        <v>1595</v>
      </c>
      <c r="L345" t="s">
        <v>1596</v>
      </c>
      <c r="M345" t="s">
        <v>1725</v>
      </c>
      <c r="N345" t="s">
        <v>741</v>
      </c>
      <c r="O345" t="s">
        <v>1726</v>
      </c>
      <c r="P345" t="s">
        <v>1717</v>
      </c>
      <c r="Q345" t="s">
        <v>370</v>
      </c>
    </row>
    <row r="346" spans="1:17" ht="14.25" customHeight="1" x14ac:dyDescent="0.2">
      <c r="A346" s="580" t="s">
        <v>178</v>
      </c>
      <c r="B346" s="110">
        <f t="shared" si="7"/>
        <v>2.64</v>
      </c>
      <c r="C346" s="575">
        <v>45995</v>
      </c>
      <c r="D346" s="569">
        <v>45999</v>
      </c>
      <c r="E346" s="569">
        <v>45999</v>
      </c>
      <c r="F346" t="s">
        <v>865</v>
      </c>
      <c r="G346" t="s">
        <v>370</v>
      </c>
      <c r="H346" t="s">
        <v>367</v>
      </c>
      <c r="I346" t="s">
        <v>368</v>
      </c>
      <c r="J346" t="s">
        <v>1580</v>
      </c>
      <c r="K346" t="s">
        <v>1586</v>
      </c>
      <c r="L346" t="s">
        <v>1587</v>
      </c>
      <c r="M346" t="s">
        <v>1727</v>
      </c>
      <c r="N346" t="s">
        <v>741</v>
      </c>
      <c r="O346" t="s">
        <v>1728</v>
      </c>
      <c r="P346" t="s">
        <v>1717</v>
      </c>
      <c r="Q346" t="s">
        <v>370</v>
      </c>
    </row>
    <row r="347" spans="1:17" ht="14.25" customHeight="1" x14ac:dyDescent="0.2">
      <c r="A347" s="580" t="s">
        <v>178</v>
      </c>
      <c r="B347" s="110">
        <f t="shared" si="7"/>
        <v>2.62</v>
      </c>
      <c r="C347" s="575">
        <v>45995</v>
      </c>
      <c r="D347" s="569">
        <v>45999</v>
      </c>
      <c r="E347" s="569">
        <v>45999</v>
      </c>
      <c r="F347" t="s">
        <v>992</v>
      </c>
      <c r="G347" t="s">
        <v>370</v>
      </c>
      <c r="H347" t="s">
        <v>367</v>
      </c>
      <c r="I347" t="s">
        <v>368</v>
      </c>
      <c r="J347" t="s">
        <v>1580</v>
      </c>
      <c r="K347" t="s">
        <v>1581</v>
      </c>
      <c r="L347" t="s">
        <v>1582</v>
      </c>
      <c r="M347" t="s">
        <v>1729</v>
      </c>
      <c r="N347" t="s">
        <v>747</v>
      </c>
      <c r="O347" t="s">
        <v>1730</v>
      </c>
      <c r="P347" t="s">
        <v>1717</v>
      </c>
      <c r="Q347" t="s">
        <v>370</v>
      </c>
    </row>
    <row r="348" spans="1:17" ht="14.25" customHeight="1" x14ac:dyDescent="0.2">
      <c r="A348" s="580" t="s">
        <v>178</v>
      </c>
      <c r="B348" s="110">
        <f t="shared" si="7"/>
        <v>2.64</v>
      </c>
      <c r="C348" s="575">
        <v>45995</v>
      </c>
      <c r="D348" s="569">
        <v>45999</v>
      </c>
      <c r="E348" s="569">
        <v>45999</v>
      </c>
      <c r="F348" t="s">
        <v>1011</v>
      </c>
      <c r="G348" t="s">
        <v>370</v>
      </c>
      <c r="H348" t="s">
        <v>367</v>
      </c>
      <c r="I348" t="s">
        <v>368</v>
      </c>
      <c r="J348" t="s">
        <v>1580</v>
      </c>
      <c r="K348" t="s">
        <v>1586</v>
      </c>
      <c r="L348" t="s">
        <v>1587</v>
      </c>
      <c r="M348" t="s">
        <v>1731</v>
      </c>
      <c r="N348" t="s">
        <v>741</v>
      </c>
      <c r="O348" t="s">
        <v>1732</v>
      </c>
      <c r="P348" t="s">
        <v>1717</v>
      </c>
      <c r="Q348" t="s">
        <v>370</v>
      </c>
    </row>
    <row r="349" spans="1:17" ht="14.25" customHeight="1" x14ac:dyDescent="0.2">
      <c r="A349" s="580" t="s">
        <v>178</v>
      </c>
      <c r="B349" s="110">
        <f t="shared" si="7"/>
        <v>2.64</v>
      </c>
      <c r="C349" s="575">
        <v>45995</v>
      </c>
      <c r="D349" s="569">
        <v>45999</v>
      </c>
      <c r="E349" s="569">
        <v>45999</v>
      </c>
      <c r="F349" t="s">
        <v>971</v>
      </c>
      <c r="G349" t="s">
        <v>370</v>
      </c>
      <c r="H349" t="s">
        <v>367</v>
      </c>
      <c r="I349" t="s">
        <v>368</v>
      </c>
      <c r="J349" t="s">
        <v>1580</v>
      </c>
      <c r="K349" t="s">
        <v>1586</v>
      </c>
      <c r="L349" t="s">
        <v>1587</v>
      </c>
      <c r="M349" t="s">
        <v>1733</v>
      </c>
      <c r="N349" t="s">
        <v>741</v>
      </c>
      <c r="O349" t="s">
        <v>1734</v>
      </c>
      <c r="P349" t="s">
        <v>1717</v>
      </c>
      <c r="Q349" t="s">
        <v>370</v>
      </c>
    </row>
    <row r="350" spans="1:17" ht="14.25" customHeight="1" x14ac:dyDescent="0.2">
      <c r="A350" s="580" t="s">
        <v>178</v>
      </c>
      <c r="B350" s="110">
        <f t="shared" si="7"/>
        <v>2.64</v>
      </c>
      <c r="C350" s="575">
        <v>45995</v>
      </c>
      <c r="D350" s="569">
        <v>45999</v>
      </c>
      <c r="E350" s="569">
        <v>45999</v>
      </c>
      <c r="F350" t="s">
        <v>1018</v>
      </c>
      <c r="G350" t="s">
        <v>370</v>
      </c>
      <c r="H350" t="s">
        <v>367</v>
      </c>
      <c r="I350" t="s">
        <v>368</v>
      </c>
      <c r="J350" t="s">
        <v>1580</v>
      </c>
      <c r="K350" t="s">
        <v>1586</v>
      </c>
      <c r="L350" t="s">
        <v>1587</v>
      </c>
      <c r="M350" t="s">
        <v>1735</v>
      </c>
      <c r="N350" t="s">
        <v>741</v>
      </c>
      <c r="O350" t="s">
        <v>1736</v>
      </c>
      <c r="P350" t="s">
        <v>1717</v>
      </c>
      <c r="Q350" t="s">
        <v>370</v>
      </c>
    </row>
    <row r="351" spans="1:17" ht="14.25" customHeight="1" x14ac:dyDescent="0.2">
      <c r="A351" s="580" t="s">
        <v>178</v>
      </c>
      <c r="B351" s="110">
        <f t="shared" si="7"/>
        <v>2.64</v>
      </c>
      <c r="C351" s="575">
        <v>45995</v>
      </c>
      <c r="D351" s="569">
        <v>45999</v>
      </c>
      <c r="E351" s="569">
        <v>45999</v>
      </c>
      <c r="F351" t="s">
        <v>783</v>
      </c>
      <c r="G351" t="s">
        <v>370</v>
      </c>
      <c r="H351" t="s">
        <v>367</v>
      </c>
      <c r="I351" t="s">
        <v>368</v>
      </c>
      <c r="J351" t="s">
        <v>1580</v>
      </c>
      <c r="K351" t="s">
        <v>1586</v>
      </c>
      <c r="L351" t="s">
        <v>1587</v>
      </c>
      <c r="M351" t="s">
        <v>1737</v>
      </c>
      <c r="N351" t="s">
        <v>781</v>
      </c>
      <c r="O351" t="s">
        <v>1738</v>
      </c>
      <c r="P351" t="s">
        <v>1717</v>
      </c>
      <c r="Q351" t="s">
        <v>370</v>
      </c>
    </row>
    <row r="352" spans="1:17" ht="14.25" customHeight="1" x14ac:dyDescent="0.2">
      <c r="A352" s="580" t="s">
        <v>178</v>
      </c>
      <c r="B352" s="110">
        <f t="shared" si="7"/>
        <v>2.64</v>
      </c>
      <c r="C352" s="575">
        <v>45996</v>
      </c>
      <c r="D352" s="569">
        <v>45999</v>
      </c>
      <c r="E352" s="569">
        <v>45999</v>
      </c>
      <c r="F352" t="s">
        <v>1739</v>
      </c>
      <c r="G352" t="s">
        <v>370</v>
      </c>
      <c r="H352" t="s">
        <v>367</v>
      </c>
      <c r="I352" t="s">
        <v>368</v>
      </c>
      <c r="J352" t="s">
        <v>1580</v>
      </c>
      <c r="K352" t="s">
        <v>1586</v>
      </c>
      <c r="L352" t="s">
        <v>1587</v>
      </c>
      <c r="M352" t="s">
        <v>1740</v>
      </c>
      <c r="N352" t="s">
        <v>741</v>
      </c>
      <c r="O352" t="s">
        <v>1741</v>
      </c>
      <c r="P352" t="s">
        <v>1717</v>
      </c>
      <c r="Q352" t="s">
        <v>370</v>
      </c>
    </row>
    <row r="353" spans="1:17" ht="14.25" customHeight="1" x14ac:dyDescent="0.2">
      <c r="A353" s="580" t="s">
        <v>179</v>
      </c>
      <c r="B353" s="110">
        <f t="shared" si="7"/>
        <v>4.6000000000000005</v>
      </c>
      <c r="C353" s="575">
        <v>45996</v>
      </c>
      <c r="D353" s="569">
        <v>45999</v>
      </c>
      <c r="E353" s="569">
        <v>45999</v>
      </c>
      <c r="F353" t="s">
        <v>1742</v>
      </c>
      <c r="G353" t="s">
        <v>370</v>
      </c>
      <c r="H353" t="s">
        <v>367</v>
      </c>
      <c r="I353" t="s">
        <v>368</v>
      </c>
      <c r="J353" t="s">
        <v>1594</v>
      </c>
      <c r="K353" t="s">
        <v>1595</v>
      </c>
      <c r="L353" t="s">
        <v>1596</v>
      </c>
      <c r="M353" t="s">
        <v>1743</v>
      </c>
      <c r="N353" t="s">
        <v>741</v>
      </c>
      <c r="O353" t="s">
        <v>1744</v>
      </c>
      <c r="P353" t="s">
        <v>1717</v>
      </c>
      <c r="Q353" t="s">
        <v>370</v>
      </c>
    </row>
    <row r="354" spans="1:17" ht="14.25" customHeight="1" x14ac:dyDescent="0.2">
      <c r="B354" s="110">
        <f t="shared" si="7"/>
        <v>0</v>
      </c>
      <c r="C354" s="582"/>
      <c r="D354" s="583"/>
      <c r="E354" s="569"/>
    </row>
    <row r="355" spans="1:17" ht="14.25" customHeight="1" x14ac:dyDescent="0.2">
      <c r="A355" s="580" t="s">
        <v>241</v>
      </c>
      <c r="B355" s="110">
        <f t="shared" si="7"/>
        <v>2.64</v>
      </c>
      <c r="C355" s="569">
        <v>45996</v>
      </c>
      <c r="D355" s="569">
        <v>46000</v>
      </c>
      <c r="E355" s="569">
        <v>46000</v>
      </c>
      <c r="F355" t="s">
        <v>797</v>
      </c>
      <c r="G355" t="s">
        <v>370</v>
      </c>
      <c r="H355" t="s">
        <v>367</v>
      </c>
      <c r="I355" t="s">
        <v>368</v>
      </c>
      <c r="J355" t="s">
        <v>1580</v>
      </c>
      <c r="K355" t="s">
        <v>1586</v>
      </c>
      <c r="L355" t="s">
        <v>1587</v>
      </c>
      <c r="M355" t="s">
        <v>1683</v>
      </c>
      <c r="N355" t="s">
        <v>741</v>
      </c>
      <c r="O355" t="s">
        <v>1684</v>
      </c>
      <c r="P355" t="s">
        <v>1650</v>
      </c>
      <c r="Q355" t="s">
        <v>370</v>
      </c>
    </row>
    <row r="356" spans="1:17" ht="14.25" customHeight="1" x14ac:dyDescent="0.2">
      <c r="A356" s="580" t="s">
        <v>241</v>
      </c>
      <c r="B356" s="110">
        <f t="shared" si="7"/>
        <v>2.62</v>
      </c>
      <c r="C356" s="569">
        <v>45996</v>
      </c>
      <c r="D356" s="569">
        <v>46000</v>
      </c>
      <c r="E356" s="569">
        <v>46000</v>
      </c>
      <c r="F356" t="s">
        <v>838</v>
      </c>
      <c r="G356" t="s">
        <v>370</v>
      </c>
      <c r="H356" t="s">
        <v>367</v>
      </c>
      <c r="I356" t="s">
        <v>368</v>
      </c>
      <c r="J356" t="s">
        <v>1580</v>
      </c>
      <c r="K356" t="s">
        <v>1581</v>
      </c>
      <c r="L356" t="s">
        <v>1582</v>
      </c>
      <c r="M356" t="s">
        <v>1685</v>
      </c>
      <c r="N356" t="s">
        <v>747</v>
      </c>
      <c r="O356" t="s">
        <v>1686</v>
      </c>
      <c r="P356" t="s">
        <v>1650</v>
      </c>
      <c r="Q356" t="s">
        <v>370</v>
      </c>
    </row>
    <row r="357" spans="1:17" ht="14.25" customHeight="1" x14ac:dyDescent="0.2">
      <c r="A357" s="580" t="s">
        <v>241</v>
      </c>
      <c r="B357" s="110">
        <f t="shared" si="7"/>
        <v>2.62</v>
      </c>
      <c r="C357" s="569">
        <v>45996</v>
      </c>
      <c r="D357" s="569">
        <v>46000</v>
      </c>
      <c r="E357" s="569">
        <v>46000</v>
      </c>
      <c r="F357" t="s">
        <v>1354</v>
      </c>
      <c r="G357" t="s">
        <v>370</v>
      </c>
      <c r="H357" t="s">
        <v>367</v>
      </c>
      <c r="I357" t="s">
        <v>368</v>
      </c>
      <c r="J357" t="s">
        <v>1580</v>
      </c>
      <c r="K357" t="s">
        <v>1581</v>
      </c>
      <c r="L357" t="s">
        <v>1582</v>
      </c>
      <c r="M357" t="s">
        <v>1687</v>
      </c>
      <c r="N357" t="s">
        <v>747</v>
      </c>
      <c r="O357" t="s">
        <v>1688</v>
      </c>
      <c r="P357" t="s">
        <v>1650</v>
      </c>
      <c r="Q357" t="s">
        <v>370</v>
      </c>
    </row>
    <row r="358" spans="1:17" ht="14.25" customHeight="1" x14ac:dyDescent="0.2">
      <c r="A358" s="580" t="s">
        <v>241</v>
      </c>
      <c r="B358" s="110">
        <f t="shared" si="7"/>
        <v>2.61</v>
      </c>
      <c r="C358" s="569">
        <v>45996</v>
      </c>
      <c r="D358" s="569">
        <v>46000</v>
      </c>
      <c r="E358" s="569">
        <v>46000</v>
      </c>
      <c r="F358" t="s">
        <v>1689</v>
      </c>
      <c r="G358" t="s">
        <v>370</v>
      </c>
      <c r="H358" t="s">
        <v>367</v>
      </c>
      <c r="I358" t="s">
        <v>368</v>
      </c>
      <c r="J358" t="s">
        <v>1580</v>
      </c>
      <c r="K358" t="s">
        <v>1690</v>
      </c>
      <c r="L358" t="s">
        <v>1691</v>
      </c>
      <c r="M358" t="s">
        <v>1692</v>
      </c>
      <c r="N358" t="s">
        <v>741</v>
      </c>
      <c r="O358" t="s">
        <v>1693</v>
      </c>
      <c r="P358" t="s">
        <v>1650</v>
      </c>
      <c r="Q358" t="s">
        <v>370</v>
      </c>
    </row>
    <row r="359" spans="1:17" ht="14.25" customHeight="1" x14ac:dyDescent="0.2">
      <c r="A359" s="580" t="s">
        <v>178</v>
      </c>
      <c r="B359" s="110">
        <f t="shared" si="7"/>
        <v>2.64</v>
      </c>
      <c r="C359" s="569">
        <v>45996</v>
      </c>
      <c r="D359" s="569">
        <v>46000</v>
      </c>
      <c r="E359" s="569">
        <v>46000</v>
      </c>
      <c r="F359" t="s">
        <v>1062</v>
      </c>
      <c r="G359" t="s">
        <v>370</v>
      </c>
      <c r="H359" t="s">
        <v>367</v>
      </c>
      <c r="I359" t="s">
        <v>368</v>
      </c>
      <c r="J359" t="s">
        <v>1580</v>
      </c>
      <c r="K359" t="s">
        <v>1586</v>
      </c>
      <c r="L359" t="s">
        <v>1587</v>
      </c>
      <c r="M359" t="s">
        <v>1694</v>
      </c>
      <c r="N359" t="s">
        <v>741</v>
      </c>
      <c r="O359" t="s">
        <v>1695</v>
      </c>
      <c r="P359" t="s">
        <v>1650</v>
      </c>
      <c r="Q359" t="s">
        <v>370</v>
      </c>
    </row>
    <row r="360" spans="1:17" ht="14.25" customHeight="1" x14ac:dyDescent="0.2">
      <c r="A360" s="580" t="s">
        <v>241</v>
      </c>
      <c r="B360" s="110">
        <f t="shared" si="7"/>
        <v>2.64</v>
      </c>
      <c r="C360" s="569">
        <v>45996</v>
      </c>
      <c r="D360" s="569">
        <v>46000</v>
      </c>
      <c r="E360" s="569">
        <v>46000</v>
      </c>
      <c r="F360" t="s">
        <v>1062</v>
      </c>
      <c r="G360" t="s">
        <v>370</v>
      </c>
      <c r="H360" t="s">
        <v>367</v>
      </c>
      <c r="I360" t="s">
        <v>368</v>
      </c>
      <c r="J360" t="s">
        <v>1580</v>
      </c>
      <c r="K360" t="s">
        <v>1586</v>
      </c>
      <c r="L360" t="s">
        <v>1587</v>
      </c>
      <c r="M360" t="s">
        <v>1696</v>
      </c>
      <c r="N360" t="s">
        <v>741</v>
      </c>
      <c r="O360" t="s">
        <v>1697</v>
      </c>
      <c r="P360" t="s">
        <v>1650</v>
      </c>
      <c r="Q360" t="s">
        <v>370</v>
      </c>
    </row>
    <row r="361" spans="1:17" ht="14.25" customHeight="1" x14ac:dyDescent="0.2">
      <c r="A361" s="580" t="s">
        <v>179</v>
      </c>
      <c r="B361" s="110">
        <f t="shared" si="7"/>
        <v>4.57</v>
      </c>
      <c r="C361" s="569">
        <v>45996</v>
      </c>
      <c r="D361" s="569">
        <v>46000</v>
      </c>
      <c r="E361" s="569">
        <v>46000</v>
      </c>
      <c r="F361" t="s">
        <v>1698</v>
      </c>
      <c r="G361" t="s">
        <v>370</v>
      </c>
      <c r="H361" t="s">
        <v>367</v>
      </c>
      <c r="I361" t="s">
        <v>368</v>
      </c>
      <c r="J361" t="s">
        <v>1594</v>
      </c>
      <c r="K361" t="s">
        <v>1413</v>
      </c>
      <c r="L361" t="s">
        <v>1615</v>
      </c>
      <c r="M361" t="s">
        <v>1699</v>
      </c>
      <c r="N361" t="s">
        <v>747</v>
      </c>
      <c r="O361" t="s">
        <v>1700</v>
      </c>
      <c r="P361" t="s">
        <v>1650</v>
      </c>
      <c r="Q361" t="s">
        <v>370</v>
      </c>
    </row>
    <row r="362" spans="1:17" ht="14.25" customHeight="1" x14ac:dyDescent="0.2">
      <c r="A362" s="580" t="s">
        <v>178</v>
      </c>
      <c r="B362" s="110">
        <f t="shared" si="7"/>
        <v>2.64</v>
      </c>
      <c r="C362" s="569">
        <v>45996</v>
      </c>
      <c r="D362" s="569">
        <v>46000</v>
      </c>
      <c r="E362" s="569">
        <v>46000</v>
      </c>
      <c r="F362" t="s">
        <v>1256</v>
      </c>
      <c r="G362" t="s">
        <v>370</v>
      </c>
      <c r="H362" t="s">
        <v>367</v>
      </c>
      <c r="I362" t="s">
        <v>368</v>
      </c>
      <c r="J362" t="s">
        <v>1580</v>
      </c>
      <c r="K362" t="s">
        <v>1586</v>
      </c>
      <c r="L362" t="s">
        <v>1587</v>
      </c>
      <c r="M362" t="s">
        <v>1701</v>
      </c>
      <c r="N362" t="s">
        <v>741</v>
      </c>
      <c r="O362" t="s">
        <v>1702</v>
      </c>
      <c r="P362" t="s">
        <v>1650</v>
      </c>
      <c r="Q362" t="s">
        <v>370</v>
      </c>
    </row>
    <row r="363" spans="1:17" ht="14.25" customHeight="1" x14ac:dyDescent="0.2">
      <c r="A363" s="580" t="s">
        <v>178</v>
      </c>
      <c r="B363" s="110">
        <f t="shared" si="7"/>
        <v>2.64</v>
      </c>
      <c r="C363" s="569">
        <v>45996</v>
      </c>
      <c r="D363" s="569">
        <v>46000</v>
      </c>
      <c r="E363" s="569">
        <v>46000</v>
      </c>
      <c r="F363" t="s">
        <v>1703</v>
      </c>
      <c r="G363" t="s">
        <v>370</v>
      </c>
      <c r="H363" t="s">
        <v>367</v>
      </c>
      <c r="I363" t="s">
        <v>368</v>
      </c>
      <c r="J363" t="s">
        <v>1580</v>
      </c>
      <c r="K363" t="s">
        <v>1586</v>
      </c>
      <c r="L363" t="s">
        <v>1587</v>
      </c>
      <c r="M363" t="s">
        <v>1704</v>
      </c>
      <c r="N363" t="s">
        <v>741</v>
      </c>
      <c r="O363" t="s">
        <v>1705</v>
      </c>
      <c r="P363" t="s">
        <v>1650</v>
      </c>
      <c r="Q363" t="s">
        <v>370</v>
      </c>
    </row>
    <row r="364" spans="1:17" ht="14.25" customHeight="1" x14ac:dyDescent="0.2">
      <c r="A364" s="580" t="s">
        <v>178</v>
      </c>
      <c r="B364" s="110">
        <f t="shared" si="7"/>
        <v>2.62</v>
      </c>
      <c r="C364" s="569">
        <v>45996</v>
      </c>
      <c r="D364" s="569">
        <v>46000</v>
      </c>
      <c r="E364" s="569">
        <v>46000</v>
      </c>
      <c r="F364" t="s">
        <v>989</v>
      </c>
      <c r="G364" t="s">
        <v>370</v>
      </c>
      <c r="H364" t="s">
        <v>367</v>
      </c>
      <c r="I364" t="s">
        <v>368</v>
      </c>
      <c r="J364" t="s">
        <v>1580</v>
      </c>
      <c r="K364" t="s">
        <v>1581</v>
      </c>
      <c r="L364" t="s">
        <v>1582</v>
      </c>
      <c r="M364" s="574" t="s">
        <v>1706</v>
      </c>
      <c r="N364" t="s">
        <v>747</v>
      </c>
      <c r="O364" t="s">
        <v>1707</v>
      </c>
      <c r="P364" t="s">
        <v>1650</v>
      </c>
      <c r="Q364" t="s">
        <v>370</v>
      </c>
    </row>
    <row r="365" spans="1:17" ht="14.25" customHeight="1" x14ac:dyDescent="0.2">
      <c r="A365" s="580" t="s">
        <v>178</v>
      </c>
      <c r="B365" s="110">
        <f t="shared" si="7"/>
        <v>2.62</v>
      </c>
      <c r="C365" s="569">
        <v>45996</v>
      </c>
      <c r="D365" s="569">
        <v>46000</v>
      </c>
      <c r="E365" s="569">
        <v>46000</v>
      </c>
      <c r="F365" t="s">
        <v>1708</v>
      </c>
      <c r="G365" t="s">
        <v>370</v>
      </c>
      <c r="H365" t="s">
        <v>367</v>
      </c>
      <c r="I365" t="s">
        <v>368</v>
      </c>
      <c r="J365" t="s">
        <v>1580</v>
      </c>
      <c r="K365" t="s">
        <v>1581</v>
      </c>
      <c r="L365" t="s">
        <v>1582</v>
      </c>
      <c r="M365" t="s">
        <v>1709</v>
      </c>
      <c r="N365" t="s">
        <v>747</v>
      </c>
      <c r="O365" t="s">
        <v>1710</v>
      </c>
      <c r="P365" t="s">
        <v>1650</v>
      </c>
      <c r="Q365" t="s">
        <v>370</v>
      </c>
    </row>
    <row r="366" spans="1:17" ht="14.25" customHeight="1" x14ac:dyDescent="0.2">
      <c r="A366" s="580" t="s">
        <v>178</v>
      </c>
      <c r="B366" s="110">
        <f t="shared" si="7"/>
        <v>2.62</v>
      </c>
      <c r="C366" s="569">
        <v>45996</v>
      </c>
      <c r="D366" s="569">
        <v>46000</v>
      </c>
      <c r="E366" s="569">
        <v>46000</v>
      </c>
      <c r="F366" t="s">
        <v>1407</v>
      </c>
      <c r="G366" t="s">
        <v>370</v>
      </c>
      <c r="H366" t="s">
        <v>367</v>
      </c>
      <c r="I366" t="s">
        <v>368</v>
      </c>
      <c r="J366" t="s">
        <v>1580</v>
      </c>
      <c r="K366" t="s">
        <v>1581</v>
      </c>
      <c r="L366" t="s">
        <v>1582</v>
      </c>
      <c r="M366" t="s">
        <v>1711</v>
      </c>
      <c r="N366" t="s">
        <v>747</v>
      </c>
      <c r="O366" t="s">
        <v>1712</v>
      </c>
      <c r="P366" t="s">
        <v>1650</v>
      </c>
      <c r="Q366" t="s">
        <v>370</v>
      </c>
    </row>
    <row r="367" spans="1:17" ht="14.25" customHeight="1" x14ac:dyDescent="0.2">
      <c r="A367" s="580" t="s">
        <v>178</v>
      </c>
      <c r="B367" s="110">
        <f t="shared" si="7"/>
        <v>2.62</v>
      </c>
      <c r="C367" s="569">
        <v>45996</v>
      </c>
      <c r="D367" s="569">
        <v>46000</v>
      </c>
      <c r="E367" s="569">
        <v>46000</v>
      </c>
      <c r="F367" t="s">
        <v>835</v>
      </c>
      <c r="G367" t="s">
        <v>370</v>
      </c>
      <c r="H367" t="s">
        <v>367</v>
      </c>
      <c r="I367" t="s">
        <v>368</v>
      </c>
      <c r="J367" t="s">
        <v>1580</v>
      </c>
      <c r="K367" t="s">
        <v>1581</v>
      </c>
      <c r="L367" t="s">
        <v>1582</v>
      </c>
      <c r="M367" t="s">
        <v>1713</v>
      </c>
      <c r="N367" t="s">
        <v>747</v>
      </c>
      <c r="O367" t="s">
        <v>1714</v>
      </c>
      <c r="P367" t="s">
        <v>1650</v>
      </c>
      <c r="Q367" t="s">
        <v>370</v>
      </c>
    </row>
    <row r="368" spans="1:17" ht="14.25" customHeight="1" x14ac:dyDescent="0.2">
      <c r="A368" s="580" t="s">
        <v>241</v>
      </c>
      <c r="B368" s="110">
        <f t="shared" si="7"/>
        <v>2.64</v>
      </c>
      <c r="C368" s="569">
        <v>45997</v>
      </c>
      <c r="D368" s="569">
        <v>46000</v>
      </c>
      <c r="E368" s="569">
        <v>46000</v>
      </c>
      <c r="F368" t="s">
        <v>1666</v>
      </c>
      <c r="G368" t="s">
        <v>370</v>
      </c>
      <c r="H368" t="s">
        <v>367</v>
      </c>
      <c r="I368" t="s">
        <v>368</v>
      </c>
      <c r="J368" t="s">
        <v>1580</v>
      </c>
      <c r="K368" t="s">
        <v>1586</v>
      </c>
      <c r="L368" t="s">
        <v>1587</v>
      </c>
      <c r="M368" t="s">
        <v>1667</v>
      </c>
      <c r="N368" t="s">
        <v>741</v>
      </c>
      <c r="O368" t="s">
        <v>1668</v>
      </c>
      <c r="P368" t="s">
        <v>1650</v>
      </c>
      <c r="Q368" t="s">
        <v>370</v>
      </c>
    </row>
    <row r="369" spans="1:17" ht="14.25" customHeight="1" x14ac:dyDescent="0.2">
      <c r="A369" s="580" t="s">
        <v>178</v>
      </c>
      <c r="B369" s="110">
        <f t="shared" si="7"/>
        <v>2.64</v>
      </c>
      <c r="C369" s="569">
        <v>45997</v>
      </c>
      <c r="D369" s="569">
        <v>46000</v>
      </c>
      <c r="E369" s="569">
        <v>46000</v>
      </c>
      <c r="F369" t="s">
        <v>1047</v>
      </c>
      <c r="G369" t="s">
        <v>370</v>
      </c>
      <c r="H369" t="s">
        <v>367</v>
      </c>
      <c r="I369" t="s">
        <v>368</v>
      </c>
      <c r="J369" t="s">
        <v>1580</v>
      </c>
      <c r="K369" t="s">
        <v>1586</v>
      </c>
      <c r="L369" t="s">
        <v>1587</v>
      </c>
      <c r="M369" t="s">
        <v>1669</v>
      </c>
      <c r="N369" t="s">
        <v>741</v>
      </c>
      <c r="O369" t="s">
        <v>1670</v>
      </c>
      <c r="P369" t="s">
        <v>1650</v>
      </c>
      <c r="Q369" t="s">
        <v>370</v>
      </c>
    </row>
    <row r="370" spans="1:17" ht="14.25" customHeight="1" x14ac:dyDescent="0.2">
      <c r="A370" s="580" t="s">
        <v>178</v>
      </c>
      <c r="B370" s="110">
        <f t="shared" si="7"/>
        <v>2.64</v>
      </c>
      <c r="C370" s="569">
        <v>45997</v>
      </c>
      <c r="D370" s="569">
        <v>46000</v>
      </c>
      <c r="E370" s="569">
        <v>46000</v>
      </c>
      <c r="F370" t="s">
        <v>1002</v>
      </c>
      <c r="G370" t="s">
        <v>1002</v>
      </c>
      <c r="H370" t="s">
        <v>367</v>
      </c>
      <c r="I370" t="s">
        <v>368</v>
      </c>
      <c r="J370" t="s">
        <v>1580</v>
      </c>
      <c r="K370" t="s">
        <v>1586</v>
      </c>
      <c r="L370" t="s">
        <v>1587</v>
      </c>
      <c r="M370" t="s">
        <v>1671</v>
      </c>
      <c r="N370" t="s">
        <v>369</v>
      </c>
      <c r="O370" t="s">
        <v>1672</v>
      </c>
      <c r="P370" t="s">
        <v>1650</v>
      </c>
      <c r="Q370" t="s">
        <v>370</v>
      </c>
    </row>
    <row r="371" spans="1:17" ht="14.25" customHeight="1" x14ac:dyDescent="0.2">
      <c r="A371" s="580" t="s">
        <v>178</v>
      </c>
      <c r="B371" s="110">
        <f t="shared" si="7"/>
        <v>2.64</v>
      </c>
      <c r="C371" s="569">
        <v>45997</v>
      </c>
      <c r="D371" s="569">
        <v>46000</v>
      </c>
      <c r="E371" s="569">
        <v>46000</v>
      </c>
      <c r="F371" t="s">
        <v>758</v>
      </c>
      <c r="G371" t="s">
        <v>370</v>
      </c>
      <c r="H371" t="s">
        <v>367</v>
      </c>
      <c r="I371" t="s">
        <v>368</v>
      </c>
      <c r="J371" t="s">
        <v>1580</v>
      </c>
      <c r="K371" t="s">
        <v>1586</v>
      </c>
      <c r="L371" t="s">
        <v>1587</v>
      </c>
      <c r="M371" t="s">
        <v>1673</v>
      </c>
      <c r="N371" t="s">
        <v>741</v>
      </c>
      <c r="O371" t="s">
        <v>1674</v>
      </c>
      <c r="P371" t="s">
        <v>1650</v>
      </c>
      <c r="Q371" t="s">
        <v>370</v>
      </c>
    </row>
    <row r="372" spans="1:17" ht="14.25" customHeight="1" x14ac:dyDescent="0.2">
      <c r="A372" s="580" t="s">
        <v>241</v>
      </c>
      <c r="B372" s="110">
        <f t="shared" si="7"/>
        <v>7.55</v>
      </c>
      <c r="C372" s="569">
        <v>45997</v>
      </c>
      <c r="D372" s="569">
        <v>46000</v>
      </c>
      <c r="E372" s="569">
        <v>46000</v>
      </c>
      <c r="F372" t="s">
        <v>783</v>
      </c>
      <c r="G372" t="s">
        <v>370</v>
      </c>
      <c r="H372" t="s">
        <v>367</v>
      </c>
      <c r="I372" t="s">
        <v>368</v>
      </c>
      <c r="J372" t="s">
        <v>1675</v>
      </c>
      <c r="K372" t="s">
        <v>744</v>
      </c>
      <c r="L372" t="s">
        <v>1676</v>
      </c>
      <c r="M372" t="s">
        <v>1677</v>
      </c>
      <c r="N372" t="s">
        <v>781</v>
      </c>
      <c r="O372" t="s">
        <v>1678</v>
      </c>
      <c r="P372" t="s">
        <v>1650</v>
      </c>
      <c r="Q372" t="s">
        <v>370</v>
      </c>
    </row>
    <row r="373" spans="1:17" ht="14.25" customHeight="1" x14ac:dyDescent="0.2">
      <c r="A373" s="580" t="s">
        <v>178</v>
      </c>
      <c r="B373" s="110">
        <f t="shared" si="7"/>
        <v>2.64</v>
      </c>
      <c r="C373" s="569">
        <v>45997</v>
      </c>
      <c r="D373" s="569">
        <v>46000</v>
      </c>
      <c r="E373" s="569">
        <v>46000</v>
      </c>
      <c r="F373" t="s">
        <v>1301</v>
      </c>
      <c r="G373" t="s">
        <v>370</v>
      </c>
      <c r="H373" t="s">
        <v>367</v>
      </c>
      <c r="I373" t="s">
        <v>368</v>
      </c>
      <c r="J373" t="s">
        <v>1580</v>
      </c>
      <c r="K373" t="s">
        <v>1586</v>
      </c>
      <c r="L373" t="s">
        <v>1587</v>
      </c>
      <c r="M373" t="s">
        <v>1679</v>
      </c>
      <c r="N373" t="s">
        <v>741</v>
      </c>
      <c r="O373" t="s">
        <v>1680</v>
      </c>
      <c r="P373" t="s">
        <v>1650</v>
      </c>
      <c r="Q373" t="s">
        <v>370</v>
      </c>
    </row>
    <row r="374" spans="1:17" ht="14.25" customHeight="1" x14ac:dyDescent="0.2">
      <c r="A374" s="580" t="s">
        <v>178</v>
      </c>
      <c r="B374" s="110">
        <f t="shared" si="7"/>
        <v>2.64</v>
      </c>
      <c r="C374" s="569">
        <v>45997</v>
      </c>
      <c r="D374" s="569">
        <v>46000</v>
      </c>
      <c r="E374" s="569">
        <v>46000</v>
      </c>
      <c r="F374" t="s">
        <v>1021</v>
      </c>
      <c r="G374" t="s">
        <v>370</v>
      </c>
      <c r="H374" t="s">
        <v>367</v>
      </c>
      <c r="I374" t="s">
        <v>368</v>
      </c>
      <c r="J374" t="s">
        <v>1580</v>
      </c>
      <c r="K374" t="s">
        <v>1586</v>
      </c>
      <c r="L374" t="s">
        <v>1587</v>
      </c>
      <c r="M374" t="s">
        <v>1681</v>
      </c>
      <c r="N374" t="s">
        <v>781</v>
      </c>
      <c r="O374" t="s">
        <v>1682</v>
      </c>
      <c r="P374" t="s">
        <v>1650</v>
      </c>
      <c r="Q374" t="s">
        <v>370</v>
      </c>
    </row>
    <row r="375" spans="1:17" ht="14.25" customHeight="1" x14ac:dyDescent="0.2">
      <c r="A375" s="580" t="s">
        <v>178</v>
      </c>
      <c r="B375" s="110">
        <f t="shared" si="7"/>
        <v>2.64</v>
      </c>
      <c r="C375" s="569">
        <v>45998</v>
      </c>
      <c r="D375" s="569">
        <v>46000</v>
      </c>
      <c r="E375" s="569">
        <v>46000</v>
      </c>
      <c r="F375" t="s">
        <v>1647</v>
      </c>
      <c r="G375" t="s">
        <v>1647</v>
      </c>
      <c r="H375" t="s">
        <v>367</v>
      </c>
      <c r="I375" t="s">
        <v>368</v>
      </c>
      <c r="J375" t="s">
        <v>1580</v>
      </c>
      <c r="K375" t="s">
        <v>1586</v>
      </c>
      <c r="L375" t="s">
        <v>1587</v>
      </c>
      <c r="M375" t="s">
        <v>1648</v>
      </c>
      <c r="N375" t="s">
        <v>369</v>
      </c>
      <c r="O375" t="s">
        <v>1649</v>
      </c>
      <c r="P375" t="s">
        <v>1650</v>
      </c>
      <c r="Q375" t="s">
        <v>370</v>
      </c>
    </row>
    <row r="376" spans="1:17" ht="14.25" customHeight="1" x14ac:dyDescent="0.2">
      <c r="A376" s="580" t="s">
        <v>178</v>
      </c>
      <c r="B376" s="110">
        <f t="shared" si="7"/>
        <v>2.64</v>
      </c>
      <c r="C376" s="569">
        <v>45998</v>
      </c>
      <c r="D376" s="569">
        <v>46000</v>
      </c>
      <c r="E376" s="569">
        <v>46000</v>
      </c>
      <c r="F376" t="s">
        <v>776</v>
      </c>
      <c r="G376" t="s">
        <v>370</v>
      </c>
      <c r="H376" t="s">
        <v>367</v>
      </c>
      <c r="I376" t="s">
        <v>368</v>
      </c>
      <c r="J376" t="s">
        <v>1580</v>
      </c>
      <c r="K376" t="s">
        <v>1586</v>
      </c>
      <c r="L376" t="s">
        <v>1587</v>
      </c>
      <c r="M376" t="s">
        <v>1651</v>
      </c>
      <c r="N376" t="s">
        <v>741</v>
      </c>
      <c r="O376" t="s">
        <v>1652</v>
      </c>
      <c r="P376" t="s">
        <v>1650</v>
      </c>
      <c r="Q376" t="s">
        <v>370</v>
      </c>
    </row>
    <row r="377" spans="1:17" ht="14.25" customHeight="1" x14ac:dyDescent="0.2">
      <c r="A377" s="580" t="s">
        <v>178</v>
      </c>
      <c r="B377" s="110">
        <f t="shared" si="7"/>
        <v>2.62</v>
      </c>
      <c r="C377" s="569">
        <v>45998</v>
      </c>
      <c r="D377" s="569">
        <v>46000</v>
      </c>
      <c r="E377" s="569">
        <v>46000</v>
      </c>
      <c r="F377" t="s">
        <v>743</v>
      </c>
      <c r="G377" t="s">
        <v>370</v>
      </c>
      <c r="H377" t="s">
        <v>367</v>
      </c>
      <c r="I377" t="s">
        <v>368</v>
      </c>
      <c r="J377" t="s">
        <v>1580</v>
      </c>
      <c r="K377" t="s">
        <v>1581</v>
      </c>
      <c r="L377" t="s">
        <v>1582</v>
      </c>
      <c r="M377" t="s">
        <v>1653</v>
      </c>
      <c r="N377" t="s">
        <v>747</v>
      </c>
      <c r="O377" s="574" t="s">
        <v>1654</v>
      </c>
      <c r="P377" t="s">
        <v>1650</v>
      </c>
      <c r="Q377" t="s">
        <v>370</v>
      </c>
    </row>
    <row r="378" spans="1:17" ht="14.25" customHeight="1" x14ac:dyDescent="0.2">
      <c r="A378" s="580" t="s">
        <v>179</v>
      </c>
      <c r="B378" s="110">
        <f t="shared" si="7"/>
        <v>4.6000000000000005</v>
      </c>
      <c r="C378" s="569">
        <v>45998</v>
      </c>
      <c r="D378" s="569">
        <v>46000</v>
      </c>
      <c r="E378" s="569">
        <v>46000</v>
      </c>
      <c r="F378" t="s">
        <v>1086</v>
      </c>
      <c r="G378" t="s">
        <v>370</v>
      </c>
      <c r="H378" t="s">
        <v>367</v>
      </c>
      <c r="I378" t="s">
        <v>368</v>
      </c>
      <c r="J378" t="s">
        <v>1594</v>
      </c>
      <c r="K378" t="s">
        <v>1595</v>
      </c>
      <c r="L378" t="s">
        <v>1596</v>
      </c>
      <c r="M378" t="s">
        <v>1655</v>
      </c>
      <c r="N378" t="s">
        <v>741</v>
      </c>
      <c r="O378" t="s">
        <v>1656</v>
      </c>
      <c r="P378" t="s">
        <v>1650</v>
      </c>
      <c r="Q378" t="s">
        <v>370</v>
      </c>
    </row>
    <row r="379" spans="1:17" ht="14.25" customHeight="1" x14ac:dyDescent="0.2">
      <c r="A379" s="580" t="s">
        <v>178</v>
      </c>
      <c r="B379" s="110">
        <f t="shared" si="7"/>
        <v>2.64</v>
      </c>
      <c r="C379" s="569">
        <v>45998</v>
      </c>
      <c r="D379" s="569">
        <v>46000</v>
      </c>
      <c r="E379" s="569">
        <v>46000</v>
      </c>
      <c r="F379" t="s">
        <v>1239</v>
      </c>
      <c r="G379" t="s">
        <v>370</v>
      </c>
      <c r="H379" t="s">
        <v>367</v>
      </c>
      <c r="I379" t="s">
        <v>368</v>
      </c>
      <c r="J379" t="s">
        <v>1580</v>
      </c>
      <c r="K379" t="s">
        <v>1586</v>
      </c>
      <c r="L379" t="s">
        <v>1587</v>
      </c>
      <c r="M379" t="s">
        <v>1657</v>
      </c>
      <c r="N379" t="s">
        <v>741</v>
      </c>
      <c r="O379" t="s">
        <v>1658</v>
      </c>
      <c r="P379" t="s">
        <v>1650</v>
      </c>
      <c r="Q379" t="s">
        <v>370</v>
      </c>
    </row>
    <row r="380" spans="1:17" ht="14.25" customHeight="1" x14ac:dyDescent="0.2">
      <c r="A380" s="580" t="s">
        <v>241</v>
      </c>
      <c r="B380" s="110">
        <f t="shared" si="7"/>
        <v>2.62</v>
      </c>
      <c r="C380" s="569">
        <v>45998</v>
      </c>
      <c r="D380" s="569">
        <v>46000</v>
      </c>
      <c r="E380" s="569">
        <v>46000</v>
      </c>
      <c r="F380" t="s">
        <v>1659</v>
      </c>
      <c r="G380" t="s">
        <v>370</v>
      </c>
      <c r="H380" t="s">
        <v>367</v>
      </c>
      <c r="I380" t="s">
        <v>368</v>
      </c>
      <c r="J380" t="s">
        <v>1580</v>
      </c>
      <c r="K380" t="s">
        <v>1581</v>
      </c>
      <c r="L380" t="s">
        <v>1582</v>
      </c>
      <c r="M380" t="s">
        <v>1660</v>
      </c>
      <c r="N380" t="s">
        <v>747</v>
      </c>
      <c r="O380" t="s">
        <v>1661</v>
      </c>
      <c r="P380" t="s">
        <v>1650</v>
      </c>
      <c r="Q380" t="s">
        <v>370</v>
      </c>
    </row>
    <row r="381" spans="1:17" ht="14.25" customHeight="1" x14ac:dyDescent="0.2">
      <c r="A381" s="580" t="s">
        <v>241</v>
      </c>
      <c r="B381" s="110">
        <f t="shared" si="7"/>
        <v>2.64</v>
      </c>
      <c r="C381" s="569">
        <v>45998</v>
      </c>
      <c r="D381" s="569">
        <v>46000</v>
      </c>
      <c r="E381" s="569">
        <v>46000</v>
      </c>
      <c r="F381" t="s">
        <v>1441</v>
      </c>
      <c r="G381" t="s">
        <v>370</v>
      </c>
      <c r="H381" t="s">
        <v>367</v>
      </c>
      <c r="I381" t="s">
        <v>368</v>
      </c>
      <c r="J381" t="s">
        <v>1580</v>
      </c>
      <c r="K381" t="s">
        <v>1586</v>
      </c>
      <c r="L381" t="s">
        <v>1587</v>
      </c>
      <c r="M381" s="574" t="s">
        <v>1662</v>
      </c>
      <c r="N381" t="s">
        <v>741</v>
      </c>
      <c r="O381" t="s">
        <v>1663</v>
      </c>
      <c r="P381" t="s">
        <v>1650</v>
      </c>
      <c r="Q381" t="s">
        <v>370</v>
      </c>
    </row>
    <row r="382" spans="1:17" ht="14.25" customHeight="1" x14ac:dyDescent="0.2">
      <c r="A382" s="580" t="s">
        <v>241</v>
      </c>
      <c r="B382" s="110">
        <f t="shared" si="7"/>
        <v>4.6000000000000005</v>
      </c>
      <c r="C382" s="569">
        <v>45998</v>
      </c>
      <c r="D382" s="569">
        <v>46000</v>
      </c>
      <c r="E382" s="569">
        <v>46000</v>
      </c>
      <c r="F382" t="s">
        <v>1444</v>
      </c>
      <c r="G382" t="s">
        <v>370</v>
      </c>
      <c r="H382" t="s">
        <v>367</v>
      </c>
      <c r="I382" t="s">
        <v>368</v>
      </c>
      <c r="J382" t="s">
        <v>1594</v>
      </c>
      <c r="K382" t="s">
        <v>1595</v>
      </c>
      <c r="L382" t="s">
        <v>1596</v>
      </c>
      <c r="M382" t="s">
        <v>1664</v>
      </c>
      <c r="N382" t="s">
        <v>741</v>
      </c>
      <c r="O382" s="574" t="s">
        <v>1665</v>
      </c>
      <c r="P382" t="s">
        <v>1650</v>
      </c>
      <c r="Q382" t="s">
        <v>370</v>
      </c>
    </row>
    <row r="383" spans="1:17" ht="14.25" customHeight="1" x14ac:dyDescent="0.2">
      <c r="B383" s="110">
        <f t="shared" si="7"/>
        <v>0</v>
      </c>
      <c r="C383" s="582"/>
      <c r="D383" s="583"/>
      <c r="E383" s="569"/>
    </row>
    <row r="384" spans="1:17" ht="14.25" customHeight="1" x14ac:dyDescent="0.2">
      <c r="A384" s="580" t="s">
        <v>241</v>
      </c>
      <c r="B384" s="110">
        <f t="shared" si="7"/>
        <v>2.64</v>
      </c>
      <c r="C384" s="569">
        <v>45999</v>
      </c>
      <c r="D384" s="569">
        <v>46001</v>
      </c>
      <c r="E384" s="569">
        <v>46001</v>
      </c>
      <c r="F384" t="s">
        <v>1629</v>
      </c>
      <c r="G384" t="s">
        <v>370</v>
      </c>
      <c r="H384" t="s">
        <v>367</v>
      </c>
      <c r="I384" t="s">
        <v>368</v>
      </c>
      <c r="J384" t="s">
        <v>1580</v>
      </c>
      <c r="K384" t="s">
        <v>1586</v>
      </c>
      <c r="L384" t="s">
        <v>1587</v>
      </c>
      <c r="M384" t="s">
        <v>1630</v>
      </c>
      <c r="N384" t="s">
        <v>741</v>
      </c>
      <c r="O384" t="s">
        <v>1631</v>
      </c>
      <c r="P384" t="s">
        <v>1632</v>
      </c>
      <c r="Q384" t="s">
        <v>370</v>
      </c>
    </row>
    <row r="385" spans="1:17" ht="14.25" customHeight="1" x14ac:dyDescent="0.2">
      <c r="A385" s="580" t="s">
        <v>241</v>
      </c>
      <c r="B385" s="110">
        <f t="shared" si="7"/>
        <v>2.64</v>
      </c>
      <c r="C385" s="569">
        <v>45999</v>
      </c>
      <c r="D385" s="569">
        <v>46001</v>
      </c>
      <c r="E385" s="569">
        <v>46001</v>
      </c>
      <c r="F385" t="s">
        <v>1633</v>
      </c>
      <c r="G385" t="s">
        <v>370</v>
      </c>
      <c r="H385" t="s">
        <v>367</v>
      </c>
      <c r="I385" t="s">
        <v>368</v>
      </c>
      <c r="J385" t="s">
        <v>1580</v>
      </c>
      <c r="K385" t="s">
        <v>1586</v>
      </c>
      <c r="L385" t="s">
        <v>1587</v>
      </c>
      <c r="M385" t="s">
        <v>1634</v>
      </c>
      <c r="N385" t="s">
        <v>741</v>
      </c>
      <c r="O385" t="s">
        <v>1635</v>
      </c>
      <c r="P385" t="s">
        <v>1632</v>
      </c>
      <c r="Q385" t="s">
        <v>370</v>
      </c>
    </row>
    <row r="386" spans="1:17" ht="14.25" customHeight="1" x14ac:dyDescent="0.2">
      <c r="A386" s="580" t="s">
        <v>241</v>
      </c>
      <c r="B386" s="110">
        <f t="shared" si="7"/>
        <v>2.64</v>
      </c>
      <c r="C386" s="569">
        <v>45999</v>
      </c>
      <c r="D386" s="569">
        <v>46001</v>
      </c>
      <c r="E386" s="569">
        <v>46001</v>
      </c>
      <c r="F386" t="s">
        <v>880</v>
      </c>
      <c r="G386" t="s">
        <v>370</v>
      </c>
      <c r="H386" t="s">
        <v>367</v>
      </c>
      <c r="I386" t="s">
        <v>368</v>
      </c>
      <c r="J386" t="s">
        <v>1580</v>
      </c>
      <c r="K386" t="s">
        <v>1586</v>
      </c>
      <c r="L386" t="s">
        <v>1587</v>
      </c>
      <c r="M386" t="s">
        <v>1636</v>
      </c>
      <c r="N386" t="s">
        <v>741</v>
      </c>
      <c r="O386" t="s">
        <v>1637</v>
      </c>
      <c r="P386" t="s">
        <v>1632</v>
      </c>
      <c r="Q386" t="s">
        <v>370</v>
      </c>
    </row>
    <row r="387" spans="1:17" ht="14.25" customHeight="1" x14ac:dyDescent="0.2">
      <c r="A387" s="580" t="s">
        <v>241</v>
      </c>
      <c r="B387" s="110">
        <f t="shared" si="7"/>
        <v>2.64</v>
      </c>
      <c r="C387" s="569">
        <v>45999</v>
      </c>
      <c r="D387" s="569">
        <v>46001</v>
      </c>
      <c r="E387" s="569">
        <v>46001</v>
      </c>
      <c r="F387" t="s">
        <v>1447</v>
      </c>
      <c r="G387" t="s">
        <v>370</v>
      </c>
      <c r="H387" t="s">
        <v>367</v>
      </c>
      <c r="I387" t="s">
        <v>368</v>
      </c>
      <c r="J387" t="s">
        <v>1580</v>
      </c>
      <c r="K387" t="s">
        <v>1586</v>
      </c>
      <c r="L387" t="s">
        <v>1587</v>
      </c>
      <c r="M387" t="s">
        <v>1638</v>
      </c>
      <c r="N387" t="s">
        <v>741</v>
      </c>
      <c r="O387" t="s">
        <v>1639</v>
      </c>
      <c r="P387" t="s">
        <v>1632</v>
      </c>
      <c r="Q387" t="s">
        <v>370</v>
      </c>
    </row>
    <row r="388" spans="1:17" ht="14.25" customHeight="1" x14ac:dyDescent="0.2">
      <c r="A388" s="580" t="s">
        <v>241</v>
      </c>
      <c r="B388" s="110">
        <f t="shared" si="7"/>
        <v>2.64</v>
      </c>
      <c r="C388" s="569">
        <v>45999</v>
      </c>
      <c r="D388" s="569">
        <v>46001</v>
      </c>
      <c r="E388" s="569">
        <v>46001</v>
      </c>
      <c r="F388" t="s">
        <v>971</v>
      </c>
      <c r="G388" t="s">
        <v>370</v>
      </c>
      <c r="H388" t="s">
        <v>367</v>
      </c>
      <c r="I388" t="s">
        <v>368</v>
      </c>
      <c r="J388" t="s">
        <v>1580</v>
      </c>
      <c r="K388" t="s">
        <v>1586</v>
      </c>
      <c r="L388" t="s">
        <v>1587</v>
      </c>
      <c r="M388" t="s">
        <v>1640</v>
      </c>
      <c r="N388" t="s">
        <v>741</v>
      </c>
      <c r="O388" t="s">
        <v>1641</v>
      </c>
      <c r="P388" t="s">
        <v>1632</v>
      </c>
      <c r="Q388" t="s">
        <v>370</v>
      </c>
    </row>
    <row r="389" spans="1:17" ht="14.25" customHeight="1" x14ac:dyDescent="0.2">
      <c r="A389" s="580" t="s">
        <v>241</v>
      </c>
      <c r="B389" s="110">
        <f t="shared" si="7"/>
        <v>2.64</v>
      </c>
      <c r="C389" s="569">
        <v>45999</v>
      </c>
      <c r="D389" s="569">
        <v>46001</v>
      </c>
      <c r="E389" s="569">
        <v>46001</v>
      </c>
      <c r="F389" t="s">
        <v>1642</v>
      </c>
      <c r="G389" t="s">
        <v>370</v>
      </c>
      <c r="H389" t="s">
        <v>367</v>
      </c>
      <c r="I389" t="s">
        <v>368</v>
      </c>
      <c r="J389" t="s">
        <v>1580</v>
      </c>
      <c r="K389" t="s">
        <v>1586</v>
      </c>
      <c r="L389" t="s">
        <v>1587</v>
      </c>
      <c r="M389" t="s">
        <v>1643</v>
      </c>
      <c r="N389" t="s">
        <v>741</v>
      </c>
      <c r="O389" t="s">
        <v>1644</v>
      </c>
      <c r="P389" t="s">
        <v>1632</v>
      </c>
      <c r="Q389" t="s">
        <v>370</v>
      </c>
    </row>
    <row r="390" spans="1:17" ht="14.25" customHeight="1" x14ac:dyDescent="0.2">
      <c r="A390" s="580" t="s">
        <v>241</v>
      </c>
      <c r="B390" s="110">
        <f t="shared" si="7"/>
        <v>2.62</v>
      </c>
      <c r="C390" s="569">
        <v>45999</v>
      </c>
      <c r="D390" s="569">
        <v>46001</v>
      </c>
      <c r="E390" s="569">
        <v>46001</v>
      </c>
      <c r="F390" t="s">
        <v>752</v>
      </c>
      <c r="G390" t="s">
        <v>370</v>
      </c>
      <c r="H390" t="s">
        <v>367</v>
      </c>
      <c r="I390" t="s">
        <v>368</v>
      </c>
      <c r="J390" t="s">
        <v>1580</v>
      </c>
      <c r="K390" t="s">
        <v>1581</v>
      </c>
      <c r="L390" t="s">
        <v>1582</v>
      </c>
      <c r="M390" t="s">
        <v>1645</v>
      </c>
      <c r="N390" t="s">
        <v>747</v>
      </c>
      <c r="O390" t="s">
        <v>1646</v>
      </c>
      <c r="P390" t="s">
        <v>1632</v>
      </c>
      <c r="Q390" t="s">
        <v>370</v>
      </c>
    </row>
    <row r="391" spans="1:17" ht="14.25" customHeight="1" x14ac:dyDescent="0.2">
      <c r="B391" s="110">
        <f t="shared" si="7"/>
        <v>0</v>
      </c>
      <c r="C391" s="581" t="s">
        <v>1628</v>
      </c>
      <c r="D391" s="576"/>
      <c r="E391" s="87"/>
      <c r="K391" s="110"/>
      <c r="L391" s="111"/>
    </row>
    <row r="392" spans="1:17" ht="14.25" customHeight="1" x14ac:dyDescent="0.2">
      <c r="A392" s="580" t="s">
        <v>241</v>
      </c>
      <c r="B392" s="110">
        <f t="shared" si="7"/>
        <v>2.62</v>
      </c>
      <c r="C392" s="575">
        <v>46000</v>
      </c>
      <c r="D392" s="569">
        <v>46002</v>
      </c>
      <c r="E392" s="569">
        <v>46002</v>
      </c>
      <c r="F392" t="s">
        <v>1579</v>
      </c>
      <c r="G392" t="s">
        <v>370</v>
      </c>
      <c r="H392" t="s">
        <v>367</v>
      </c>
      <c r="I392" t="s">
        <v>368</v>
      </c>
      <c r="J392" t="s">
        <v>1580</v>
      </c>
      <c r="K392" t="s">
        <v>1581</v>
      </c>
      <c r="L392" t="s">
        <v>1582</v>
      </c>
      <c r="M392" t="s">
        <v>1583</v>
      </c>
      <c r="N392" t="s">
        <v>747</v>
      </c>
      <c r="O392" t="s">
        <v>1584</v>
      </c>
      <c r="P392" t="s">
        <v>1585</v>
      </c>
      <c r="Q392" t="s">
        <v>370</v>
      </c>
    </row>
    <row r="393" spans="1:17" ht="14.25" customHeight="1" x14ac:dyDescent="0.2">
      <c r="A393" s="580" t="s">
        <v>241</v>
      </c>
      <c r="B393" s="110">
        <f t="shared" si="7"/>
        <v>2.64</v>
      </c>
      <c r="C393" s="575">
        <v>46000</v>
      </c>
      <c r="D393" s="569">
        <v>46002</v>
      </c>
      <c r="E393" s="569">
        <v>46002</v>
      </c>
      <c r="F393" t="s">
        <v>977</v>
      </c>
      <c r="G393" t="s">
        <v>370</v>
      </c>
      <c r="H393" t="s">
        <v>367</v>
      </c>
      <c r="I393" t="s">
        <v>368</v>
      </c>
      <c r="J393" t="s">
        <v>1580</v>
      </c>
      <c r="K393" t="s">
        <v>1586</v>
      </c>
      <c r="L393" t="s">
        <v>1587</v>
      </c>
      <c r="M393" t="s">
        <v>1588</v>
      </c>
      <c r="N393" t="s">
        <v>741</v>
      </c>
      <c r="O393" t="s">
        <v>1589</v>
      </c>
      <c r="P393" t="s">
        <v>1585</v>
      </c>
      <c r="Q393" t="s">
        <v>370</v>
      </c>
    </row>
    <row r="394" spans="1:17" ht="14.25" customHeight="1" x14ac:dyDescent="0.2">
      <c r="A394" s="580" t="s">
        <v>241</v>
      </c>
      <c r="B394" s="110">
        <f t="shared" si="7"/>
        <v>2.64</v>
      </c>
      <c r="C394" s="575">
        <v>46000</v>
      </c>
      <c r="D394" s="569">
        <v>46002</v>
      </c>
      <c r="E394" s="569">
        <v>46002</v>
      </c>
      <c r="F394" t="s">
        <v>1590</v>
      </c>
      <c r="G394" t="s">
        <v>1590</v>
      </c>
      <c r="H394" t="s">
        <v>367</v>
      </c>
      <c r="I394" t="s">
        <v>368</v>
      </c>
      <c r="J394" t="s">
        <v>1580</v>
      </c>
      <c r="K394" t="s">
        <v>1586</v>
      </c>
      <c r="L394" t="s">
        <v>1587</v>
      </c>
      <c r="M394" t="s">
        <v>1591</v>
      </c>
      <c r="N394" t="s">
        <v>369</v>
      </c>
      <c r="O394" t="s">
        <v>1592</v>
      </c>
      <c r="P394" t="s">
        <v>1585</v>
      </c>
      <c r="Q394" t="s">
        <v>370</v>
      </c>
    </row>
    <row r="395" spans="1:17" ht="14.25" customHeight="1" x14ac:dyDescent="0.2">
      <c r="A395" s="580" t="s">
        <v>242</v>
      </c>
      <c r="B395" s="110">
        <f t="shared" si="7"/>
        <v>4.6000000000000005</v>
      </c>
      <c r="C395" s="575">
        <v>46000</v>
      </c>
      <c r="D395" s="569">
        <v>46002</v>
      </c>
      <c r="E395" s="569">
        <v>46002</v>
      </c>
      <c r="F395" t="s">
        <v>1593</v>
      </c>
      <c r="G395" t="s">
        <v>370</v>
      </c>
      <c r="H395" t="s">
        <v>367</v>
      </c>
      <c r="I395" t="s">
        <v>368</v>
      </c>
      <c r="J395" t="s">
        <v>1594</v>
      </c>
      <c r="K395" t="s">
        <v>1595</v>
      </c>
      <c r="L395" t="s">
        <v>1596</v>
      </c>
      <c r="M395" t="s">
        <v>1597</v>
      </c>
      <c r="N395" t="s">
        <v>741</v>
      </c>
      <c r="O395" t="s">
        <v>1598</v>
      </c>
      <c r="P395" t="s">
        <v>1585</v>
      </c>
      <c r="Q395" t="s">
        <v>370</v>
      </c>
    </row>
    <row r="396" spans="1:17" ht="14.25" customHeight="1" x14ac:dyDescent="0.2">
      <c r="A396" s="580" t="s">
        <v>241</v>
      </c>
      <c r="B396" s="110">
        <f t="shared" si="7"/>
        <v>2.64</v>
      </c>
      <c r="C396" s="575">
        <v>46000</v>
      </c>
      <c r="D396" s="569">
        <v>46002</v>
      </c>
      <c r="E396" s="569">
        <v>46002</v>
      </c>
      <c r="F396" t="s">
        <v>1105</v>
      </c>
      <c r="G396" t="s">
        <v>370</v>
      </c>
      <c r="H396" t="s">
        <v>367</v>
      </c>
      <c r="I396" t="s">
        <v>368</v>
      </c>
      <c r="J396" t="s">
        <v>1580</v>
      </c>
      <c r="K396" t="s">
        <v>1586</v>
      </c>
      <c r="L396" t="s">
        <v>1587</v>
      </c>
      <c r="M396" t="s">
        <v>1599</v>
      </c>
      <c r="N396" t="s">
        <v>741</v>
      </c>
      <c r="O396" t="s">
        <v>1600</v>
      </c>
      <c r="P396" t="s">
        <v>1585</v>
      </c>
      <c r="Q396" t="s">
        <v>370</v>
      </c>
    </row>
    <row r="397" spans="1:17" ht="14.25" customHeight="1" x14ac:dyDescent="0.2">
      <c r="A397" s="580" t="s">
        <v>241</v>
      </c>
      <c r="B397" s="110">
        <f t="shared" si="7"/>
        <v>2.62</v>
      </c>
      <c r="C397" s="575">
        <v>46000</v>
      </c>
      <c r="D397" s="569">
        <v>46002</v>
      </c>
      <c r="E397" s="569">
        <v>46002</v>
      </c>
      <c r="F397" t="s">
        <v>1601</v>
      </c>
      <c r="G397" t="s">
        <v>370</v>
      </c>
      <c r="H397" t="s">
        <v>367</v>
      </c>
      <c r="I397" t="s">
        <v>368</v>
      </c>
      <c r="J397" t="s">
        <v>1580</v>
      </c>
      <c r="K397" t="s">
        <v>1581</v>
      </c>
      <c r="L397" t="s">
        <v>1582</v>
      </c>
      <c r="M397" t="s">
        <v>1602</v>
      </c>
      <c r="N397" t="s">
        <v>747</v>
      </c>
      <c r="O397" t="s">
        <v>1603</v>
      </c>
      <c r="P397" t="s">
        <v>1585</v>
      </c>
      <c r="Q397" t="s">
        <v>370</v>
      </c>
    </row>
    <row r="398" spans="1:17" ht="14.25" customHeight="1" x14ac:dyDescent="0.2">
      <c r="A398" s="580" t="s">
        <v>241</v>
      </c>
      <c r="B398" s="110">
        <f t="shared" si="7"/>
        <v>2.64</v>
      </c>
      <c r="C398" s="575">
        <v>46000</v>
      </c>
      <c r="D398" s="569">
        <v>46002</v>
      </c>
      <c r="E398" s="569">
        <v>46002</v>
      </c>
      <c r="F398" t="s">
        <v>1604</v>
      </c>
      <c r="G398" t="s">
        <v>1605</v>
      </c>
      <c r="H398" t="s">
        <v>367</v>
      </c>
      <c r="I398" t="s">
        <v>368</v>
      </c>
      <c r="J398" t="s">
        <v>1580</v>
      </c>
      <c r="K398" t="s">
        <v>1586</v>
      </c>
      <c r="L398" t="s">
        <v>1587</v>
      </c>
      <c r="M398" t="s">
        <v>1606</v>
      </c>
      <c r="N398" t="s">
        <v>369</v>
      </c>
      <c r="O398" t="s">
        <v>1607</v>
      </c>
      <c r="P398" t="s">
        <v>1585</v>
      </c>
      <c r="Q398" t="s">
        <v>370</v>
      </c>
    </row>
    <row r="399" spans="1:17" ht="14.25" customHeight="1" x14ac:dyDescent="0.2">
      <c r="A399" s="580" t="s">
        <v>241</v>
      </c>
      <c r="B399" s="110">
        <f t="shared" si="7"/>
        <v>2.64</v>
      </c>
      <c r="C399" s="575">
        <v>46000</v>
      </c>
      <c r="D399" s="569">
        <v>46002</v>
      </c>
      <c r="E399" s="569">
        <v>46002</v>
      </c>
      <c r="F399" t="s">
        <v>1608</v>
      </c>
      <c r="G399" t="s">
        <v>370</v>
      </c>
      <c r="H399" t="s">
        <v>367</v>
      </c>
      <c r="I399" t="s">
        <v>368</v>
      </c>
      <c r="J399" t="s">
        <v>1580</v>
      </c>
      <c r="K399" t="s">
        <v>1586</v>
      </c>
      <c r="L399" t="s">
        <v>1587</v>
      </c>
      <c r="M399" t="s">
        <v>1609</v>
      </c>
      <c r="N399" t="s">
        <v>741</v>
      </c>
      <c r="O399" t="s">
        <v>1610</v>
      </c>
      <c r="P399" t="s">
        <v>1585</v>
      </c>
      <c r="Q399" t="s">
        <v>370</v>
      </c>
    </row>
    <row r="400" spans="1:17" ht="14.25" customHeight="1" x14ac:dyDescent="0.2">
      <c r="A400" s="580" t="s">
        <v>242</v>
      </c>
      <c r="B400" s="110">
        <f t="shared" si="7"/>
        <v>4.6000000000000005</v>
      </c>
      <c r="C400" s="575">
        <v>46000</v>
      </c>
      <c r="D400" s="569">
        <v>46002</v>
      </c>
      <c r="E400" s="569">
        <v>46002</v>
      </c>
      <c r="F400" t="s">
        <v>1147</v>
      </c>
      <c r="G400" t="s">
        <v>1147</v>
      </c>
      <c r="H400" t="s">
        <v>367</v>
      </c>
      <c r="I400" t="s">
        <v>368</v>
      </c>
      <c r="J400" t="s">
        <v>1594</v>
      </c>
      <c r="K400" t="s">
        <v>1595</v>
      </c>
      <c r="L400" t="s">
        <v>1596</v>
      </c>
      <c r="M400" t="s">
        <v>1611</v>
      </c>
      <c r="N400" t="s">
        <v>369</v>
      </c>
      <c r="O400" t="s">
        <v>1612</v>
      </c>
      <c r="P400" t="s">
        <v>1585</v>
      </c>
      <c r="Q400" t="s">
        <v>370</v>
      </c>
    </row>
    <row r="401" spans="1:17" ht="14.25" customHeight="1" x14ac:dyDescent="0.2">
      <c r="A401" s="580" t="s">
        <v>241</v>
      </c>
      <c r="B401" s="110">
        <f t="shared" si="7"/>
        <v>2.64</v>
      </c>
      <c r="C401" s="575">
        <v>46000</v>
      </c>
      <c r="D401" s="569">
        <v>46002</v>
      </c>
      <c r="E401" s="569">
        <v>46002</v>
      </c>
      <c r="F401" t="s">
        <v>996</v>
      </c>
      <c r="G401" t="s">
        <v>996</v>
      </c>
      <c r="H401" t="s">
        <v>367</v>
      </c>
      <c r="I401" t="s">
        <v>368</v>
      </c>
      <c r="J401" t="s">
        <v>1580</v>
      </c>
      <c r="K401" t="s">
        <v>1586</v>
      </c>
      <c r="L401" t="s">
        <v>1587</v>
      </c>
      <c r="M401" t="s">
        <v>1613</v>
      </c>
      <c r="N401" t="s">
        <v>369</v>
      </c>
      <c r="O401" t="s">
        <v>1614</v>
      </c>
      <c r="P401" t="s">
        <v>1585</v>
      </c>
      <c r="Q401" t="s">
        <v>370</v>
      </c>
    </row>
    <row r="402" spans="1:17" ht="14.25" customHeight="1" x14ac:dyDescent="0.2">
      <c r="A402" s="580" t="s">
        <v>241</v>
      </c>
      <c r="B402" s="110">
        <f t="shared" si="7"/>
        <v>4.57</v>
      </c>
      <c r="C402" s="575">
        <v>46000</v>
      </c>
      <c r="D402" s="569">
        <v>46002</v>
      </c>
      <c r="E402" s="569">
        <v>46002</v>
      </c>
      <c r="F402" t="s">
        <v>1092</v>
      </c>
      <c r="G402" t="s">
        <v>370</v>
      </c>
      <c r="H402" t="s">
        <v>367</v>
      </c>
      <c r="I402" t="s">
        <v>368</v>
      </c>
      <c r="J402" t="s">
        <v>1594</v>
      </c>
      <c r="K402" t="s">
        <v>1413</v>
      </c>
      <c r="L402" t="s">
        <v>1615</v>
      </c>
      <c r="M402" t="s">
        <v>1616</v>
      </c>
      <c r="N402" t="s">
        <v>747</v>
      </c>
      <c r="O402" t="s">
        <v>1617</v>
      </c>
      <c r="P402" t="s">
        <v>1585</v>
      </c>
      <c r="Q402" t="s">
        <v>370</v>
      </c>
    </row>
    <row r="403" spans="1:17" ht="14.25" customHeight="1" x14ac:dyDescent="0.2">
      <c r="A403" s="580" t="s">
        <v>241</v>
      </c>
      <c r="B403" s="110">
        <f t="shared" si="7"/>
        <v>2.62</v>
      </c>
      <c r="C403" s="575">
        <v>46000</v>
      </c>
      <c r="D403" s="569">
        <v>46002</v>
      </c>
      <c r="E403" s="569">
        <v>46002</v>
      </c>
      <c r="F403" t="s">
        <v>1134</v>
      </c>
      <c r="G403" t="s">
        <v>370</v>
      </c>
      <c r="H403" t="s">
        <v>367</v>
      </c>
      <c r="I403" t="s">
        <v>368</v>
      </c>
      <c r="J403" t="s">
        <v>1580</v>
      </c>
      <c r="K403" t="s">
        <v>1581</v>
      </c>
      <c r="L403" t="s">
        <v>1582</v>
      </c>
      <c r="M403" t="s">
        <v>1618</v>
      </c>
      <c r="N403" t="s">
        <v>747</v>
      </c>
      <c r="O403" t="s">
        <v>1619</v>
      </c>
      <c r="P403" t="s">
        <v>1585</v>
      </c>
      <c r="Q403" t="s">
        <v>370</v>
      </c>
    </row>
    <row r="404" spans="1:17" ht="14.25" customHeight="1" x14ac:dyDescent="0.2">
      <c r="A404" s="580" t="s">
        <v>242</v>
      </c>
      <c r="B404" s="110">
        <f t="shared" si="7"/>
        <v>4.6000000000000005</v>
      </c>
      <c r="C404" s="575">
        <v>46000</v>
      </c>
      <c r="D404" s="569">
        <v>46002</v>
      </c>
      <c r="E404" s="569">
        <v>46002</v>
      </c>
      <c r="F404" t="s">
        <v>1620</v>
      </c>
      <c r="G404" t="s">
        <v>370</v>
      </c>
      <c r="H404" t="s">
        <v>367</v>
      </c>
      <c r="I404" t="s">
        <v>368</v>
      </c>
      <c r="J404" t="s">
        <v>1594</v>
      </c>
      <c r="K404" t="s">
        <v>1595</v>
      </c>
      <c r="L404" t="s">
        <v>1596</v>
      </c>
      <c r="M404" t="s">
        <v>1621</v>
      </c>
      <c r="N404" t="s">
        <v>741</v>
      </c>
      <c r="O404" t="s">
        <v>1622</v>
      </c>
      <c r="P404" t="s">
        <v>1585</v>
      </c>
      <c r="Q404" t="s">
        <v>370</v>
      </c>
    </row>
    <row r="405" spans="1:17" ht="14.25" customHeight="1" x14ac:dyDescent="0.2">
      <c r="A405" s="580" t="s">
        <v>241</v>
      </c>
      <c r="B405" s="110">
        <f t="shared" si="7"/>
        <v>2.62</v>
      </c>
      <c r="C405" s="575">
        <v>46000</v>
      </c>
      <c r="D405" s="569">
        <v>46002</v>
      </c>
      <c r="E405" s="569">
        <v>46002</v>
      </c>
      <c r="F405" t="s">
        <v>1131</v>
      </c>
      <c r="G405" t="s">
        <v>370</v>
      </c>
      <c r="H405" t="s">
        <v>367</v>
      </c>
      <c r="I405" t="s">
        <v>368</v>
      </c>
      <c r="J405" t="s">
        <v>1580</v>
      </c>
      <c r="K405" t="s">
        <v>1581</v>
      </c>
      <c r="L405" t="s">
        <v>1582</v>
      </c>
      <c r="M405" t="s">
        <v>1623</v>
      </c>
      <c r="N405" t="s">
        <v>747</v>
      </c>
      <c r="O405" t="s">
        <v>1624</v>
      </c>
      <c r="P405" t="s">
        <v>1585</v>
      </c>
      <c r="Q405" t="s">
        <v>370</v>
      </c>
    </row>
    <row r="406" spans="1:17" ht="14.25" customHeight="1" x14ac:dyDescent="0.2">
      <c r="A406" s="580" t="s">
        <v>242</v>
      </c>
      <c r="B406" s="110">
        <f t="shared" ref="B406:B469" si="8">_xlfn.NUMBERVALUE(L406)*0.01</f>
        <v>4.6000000000000005</v>
      </c>
      <c r="C406" s="575">
        <v>46000</v>
      </c>
      <c r="D406" s="569">
        <v>46002</v>
      </c>
      <c r="E406" s="569">
        <v>46002</v>
      </c>
      <c r="F406" t="s">
        <v>1625</v>
      </c>
      <c r="G406" t="s">
        <v>370</v>
      </c>
      <c r="H406" t="s">
        <v>367</v>
      </c>
      <c r="I406" t="s">
        <v>368</v>
      </c>
      <c r="J406" t="s">
        <v>1594</v>
      </c>
      <c r="K406" t="s">
        <v>1595</v>
      </c>
      <c r="L406" t="s">
        <v>1596</v>
      </c>
      <c r="M406" t="s">
        <v>1626</v>
      </c>
      <c r="N406" t="s">
        <v>741</v>
      </c>
      <c r="O406" t="s">
        <v>1627</v>
      </c>
      <c r="P406" t="s">
        <v>1585</v>
      </c>
      <c r="Q406" t="s">
        <v>370</v>
      </c>
    </row>
    <row r="407" spans="1:17" ht="14.25" customHeight="1" x14ac:dyDescent="0.2">
      <c r="B407" s="110">
        <f t="shared" si="8"/>
        <v>0</v>
      </c>
      <c r="E407" s="87"/>
      <c r="K407" s="110"/>
      <c r="L407" s="111"/>
    </row>
    <row r="408" spans="1:17" ht="14.25" customHeight="1" x14ac:dyDescent="0.2">
      <c r="A408" s="580" t="s">
        <v>1763</v>
      </c>
      <c r="B408" s="110">
        <f t="shared" si="8"/>
        <v>1.6400000000000001</v>
      </c>
      <c r="C408" s="575">
        <v>46029</v>
      </c>
      <c r="D408" s="569">
        <v>46031</v>
      </c>
      <c r="E408" s="569">
        <v>46031</v>
      </c>
      <c r="F408" t="s">
        <v>1601</v>
      </c>
      <c r="G408" t="s">
        <v>370</v>
      </c>
      <c r="H408" t="s">
        <v>367</v>
      </c>
      <c r="I408" t="s">
        <v>368</v>
      </c>
      <c r="J408" t="s">
        <v>1757</v>
      </c>
      <c r="K408" t="s">
        <v>1758</v>
      </c>
      <c r="L408" t="s">
        <v>1759</v>
      </c>
      <c r="M408" t="s">
        <v>1760</v>
      </c>
      <c r="N408" t="s">
        <v>741</v>
      </c>
      <c r="O408" t="s">
        <v>1761</v>
      </c>
      <c r="P408" t="s">
        <v>1762</v>
      </c>
      <c r="Q408" t="s">
        <v>370</v>
      </c>
    </row>
    <row r="409" spans="1:17" ht="14.25" customHeight="1" x14ac:dyDescent="0.2">
      <c r="A409" s="580" t="s">
        <v>1836</v>
      </c>
      <c r="B409" s="110">
        <f t="shared" si="8"/>
        <v>4.6000000000000005</v>
      </c>
      <c r="C409" s="575">
        <v>46035</v>
      </c>
      <c r="D409" s="569">
        <v>46037</v>
      </c>
      <c r="E409" s="569">
        <v>46037</v>
      </c>
      <c r="F409" t="s">
        <v>783</v>
      </c>
      <c r="G409" t="s">
        <v>370</v>
      </c>
      <c r="H409" t="s">
        <v>367</v>
      </c>
      <c r="I409" t="s">
        <v>368</v>
      </c>
      <c r="J409" t="s">
        <v>1594</v>
      </c>
      <c r="K409" t="s">
        <v>1595</v>
      </c>
      <c r="L409" t="s">
        <v>1596</v>
      </c>
      <c r="M409" t="s">
        <v>1764</v>
      </c>
      <c r="N409" t="s">
        <v>781</v>
      </c>
      <c r="O409" t="s">
        <v>1765</v>
      </c>
      <c r="P409" t="s">
        <v>1766</v>
      </c>
      <c r="Q409" t="s">
        <v>370</v>
      </c>
    </row>
    <row r="410" spans="1:17" ht="14.25" customHeight="1" x14ac:dyDescent="0.2">
      <c r="A410" s="580" t="s">
        <v>1836</v>
      </c>
      <c r="B410" s="110">
        <f t="shared" si="8"/>
        <v>4.57</v>
      </c>
      <c r="C410" s="575">
        <v>46035</v>
      </c>
      <c r="D410" s="569">
        <v>46037</v>
      </c>
      <c r="E410" s="569">
        <v>46037</v>
      </c>
      <c r="F410" t="s">
        <v>1068</v>
      </c>
      <c r="G410" t="s">
        <v>370</v>
      </c>
      <c r="H410" t="s">
        <v>367</v>
      </c>
      <c r="I410" t="s">
        <v>368</v>
      </c>
      <c r="J410" t="s">
        <v>1594</v>
      </c>
      <c r="K410" t="s">
        <v>1413</v>
      </c>
      <c r="L410" t="s">
        <v>1615</v>
      </c>
      <c r="M410" t="s">
        <v>1767</v>
      </c>
      <c r="N410" t="s">
        <v>747</v>
      </c>
      <c r="O410" t="s">
        <v>1768</v>
      </c>
      <c r="P410" t="s">
        <v>1766</v>
      </c>
      <c r="Q410" t="s">
        <v>370</v>
      </c>
    </row>
    <row r="411" spans="1:17" ht="14.25" customHeight="1" x14ac:dyDescent="0.2">
      <c r="A411" s="580" t="s">
        <v>1836</v>
      </c>
      <c r="B411" s="110">
        <f t="shared" si="8"/>
        <v>4.6000000000000005</v>
      </c>
      <c r="C411" s="575">
        <v>46035</v>
      </c>
      <c r="D411" s="569">
        <v>46037</v>
      </c>
      <c r="E411" s="569">
        <v>46037</v>
      </c>
      <c r="F411" t="s">
        <v>1320</v>
      </c>
      <c r="G411" t="s">
        <v>370</v>
      </c>
      <c r="H411" t="s">
        <v>367</v>
      </c>
      <c r="I411" t="s">
        <v>368</v>
      </c>
      <c r="J411" t="s">
        <v>1594</v>
      </c>
      <c r="K411" t="s">
        <v>1595</v>
      </c>
      <c r="L411" t="s">
        <v>1596</v>
      </c>
      <c r="M411" t="s">
        <v>1769</v>
      </c>
      <c r="N411" t="s">
        <v>741</v>
      </c>
      <c r="O411" t="s">
        <v>1770</v>
      </c>
      <c r="P411" t="s">
        <v>1766</v>
      </c>
      <c r="Q411" t="s">
        <v>370</v>
      </c>
    </row>
    <row r="412" spans="1:17" ht="14.25" customHeight="1" x14ac:dyDescent="0.2">
      <c r="A412" s="580" t="s">
        <v>1836</v>
      </c>
      <c r="B412" s="110">
        <f t="shared" si="8"/>
        <v>4.6000000000000005</v>
      </c>
      <c r="C412" s="575">
        <v>46035</v>
      </c>
      <c r="D412" s="569">
        <v>46037</v>
      </c>
      <c r="E412" s="569">
        <v>46037</v>
      </c>
      <c r="F412" t="s">
        <v>1311</v>
      </c>
      <c r="G412" t="s">
        <v>1311</v>
      </c>
      <c r="H412" t="s">
        <v>367</v>
      </c>
      <c r="I412" t="s">
        <v>368</v>
      </c>
      <c r="J412" t="s">
        <v>1594</v>
      </c>
      <c r="K412" t="s">
        <v>1595</v>
      </c>
      <c r="L412" t="s">
        <v>1596</v>
      </c>
      <c r="M412" t="s">
        <v>1771</v>
      </c>
      <c r="N412" t="s">
        <v>369</v>
      </c>
      <c r="O412" t="s">
        <v>1772</v>
      </c>
      <c r="P412" t="s">
        <v>1766</v>
      </c>
      <c r="Q412" t="s">
        <v>370</v>
      </c>
    </row>
    <row r="413" spans="1:17" ht="14.25" customHeight="1" x14ac:dyDescent="0.2">
      <c r="A413" s="580" t="s">
        <v>1836</v>
      </c>
      <c r="B413" s="110">
        <f t="shared" si="8"/>
        <v>4.6000000000000005</v>
      </c>
      <c r="C413" s="575">
        <v>46035</v>
      </c>
      <c r="D413" s="569">
        <v>46037</v>
      </c>
      <c r="E413" s="569">
        <v>46037</v>
      </c>
      <c r="F413" t="s">
        <v>813</v>
      </c>
      <c r="G413" t="s">
        <v>370</v>
      </c>
      <c r="H413" t="s">
        <v>367</v>
      </c>
      <c r="I413" t="s">
        <v>368</v>
      </c>
      <c r="J413" t="s">
        <v>1594</v>
      </c>
      <c r="K413" t="s">
        <v>1595</v>
      </c>
      <c r="L413" t="s">
        <v>1596</v>
      </c>
      <c r="M413" s="574" t="s">
        <v>1773</v>
      </c>
      <c r="N413" t="s">
        <v>741</v>
      </c>
      <c r="O413" t="s">
        <v>1774</v>
      </c>
      <c r="P413" t="s">
        <v>1766</v>
      </c>
      <c r="Q413" t="s">
        <v>370</v>
      </c>
    </row>
    <row r="414" spans="1:17" ht="14.25" customHeight="1" x14ac:dyDescent="0.2">
      <c r="A414" s="580" t="s">
        <v>1763</v>
      </c>
      <c r="B414" s="110">
        <f t="shared" si="8"/>
        <v>3.6</v>
      </c>
      <c r="C414" s="575">
        <v>46035</v>
      </c>
      <c r="D414" s="569">
        <v>46037</v>
      </c>
      <c r="E414" s="569">
        <v>46037</v>
      </c>
      <c r="F414" t="s">
        <v>1775</v>
      </c>
      <c r="G414" t="s">
        <v>370</v>
      </c>
      <c r="H414" t="s">
        <v>367</v>
      </c>
      <c r="I414" t="s">
        <v>368</v>
      </c>
      <c r="J414" t="s">
        <v>1776</v>
      </c>
      <c r="K414" t="s">
        <v>1399</v>
      </c>
      <c r="L414" t="s">
        <v>1777</v>
      </c>
      <c r="M414" t="s">
        <v>1778</v>
      </c>
      <c r="N414" t="s">
        <v>747</v>
      </c>
      <c r="O414" t="s">
        <v>1779</v>
      </c>
      <c r="P414" t="s">
        <v>1766</v>
      </c>
      <c r="Q414" t="s">
        <v>370</v>
      </c>
    </row>
    <row r="415" spans="1:17" ht="14.25" customHeight="1" x14ac:dyDescent="0.2">
      <c r="A415" s="580" t="s">
        <v>1837</v>
      </c>
      <c r="B415" s="110">
        <f t="shared" si="8"/>
        <v>6.57</v>
      </c>
      <c r="C415" s="575">
        <v>46035</v>
      </c>
      <c r="D415" s="569">
        <v>46037</v>
      </c>
      <c r="E415" s="569">
        <v>46037</v>
      </c>
      <c r="F415" t="s">
        <v>896</v>
      </c>
      <c r="G415" t="s">
        <v>370</v>
      </c>
      <c r="H415" t="s">
        <v>367</v>
      </c>
      <c r="I415" t="s">
        <v>368</v>
      </c>
      <c r="J415" t="s">
        <v>696</v>
      </c>
      <c r="K415" t="s">
        <v>697</v>
      </c>
      <c r="L415" t="s">
        <v>698</v>
      </c>
      <c r="M415" t="s">
        <v>1780</v>
      </c>
      <c r="N415" t="s">
        <v>741</v>
      </c>
      <c r="O415" t="s">
        <v>1781</v>
      </c>
      <c r="P415" t="s">
        <v>1766</v>
      </c>
      <c r="Q415" t="s">
        <v>370</v>
      </c>
    </row>
    <row r="416" spans="1:17" ht="14.25" customHeight="1" x14ac:dyDescent="0.2">
      <c r="A416" s="580" t="s">
        <v>1836</v>
      </c>
      <c r="B416" s="110">
        <f t="shared" si="8"/>
        <v>4.6000000000000005</v>
      </c>
      <c r="C416" s="575">
        <v>46035</v>
      </c>
      <c r="D416" s="569">
        <v>46037</v>
      </c>
      <c r="E416" s="569">
        <v>46037</v>
      </c>
      <c r="F416" t="s">
        <v>1562</v>
      </c>
      <c r="G416" t="s">
        <v>370</v>
      </c>
      <c r="H416" t="s">
        <v>367</v>
      </c>
      <c r="I416" t="s">
        <v>368</v>
      </c>
      <c r="J416" t="s">
        <v>1594</v>
      </c>
      <c r="K416" t="s">
        <v>1595</v>
      </c>
      <c r="L416" t="s">
        <v>1596</v>
      </c>
      <c r="M416" t="s">
        <v>1782</v>
      </c>
      <c r="N416" t="s">
        <v>741</v>
      </c>
      <c r="O416" t="s">
        <v>1783</v>
      </c>
      <c r="P416" t="s">
        <v>1766</v>
      </c>
      <c r="Q416" t="s">
        <v>370</v>
      </c>
    </row>
    <row r="417" spans="1:17" ht="14.25" customHeight="1" x14ac:dyDescent="0.2">
      <c r="A417" s="580" t="s">
        <v>1836</v>
      </c>
      <c r="B417" s="110">
        <f t="shared" si="8"/>
        <v>4.6000000000000005</v>
      </c>
      <c r="C417" s="575">
        <v>46035</v>
      </c>
      <c r="D417" s="569">
        <v>46037</v>
      </c>
      <c r="E417" s="569">
        <v>46037</v>
      </c>
      <c r="F417" t="s">
        <v>1784</v>
      </c>
      <c r="G417" t="s">
        <v>370</v>
      </c>
      <c r="H417" t="s">
        <v>367</v>
      </c>
      <c r="I417" t="s">
        <v>368</v>
      </c>
      <c r="J417" t="s">
        <v>1594</v>
      </c>
      <c r="K417" t="s">
        <v>1595</v>
      </c>
      <c r="L417" t="s">
        <v>1596</v>
      </c>
      <c r="M417" t="s">
        <v>1785</v>
      </c>
      <c r="N417" t="s">
        <v>741</v>
      </c>
      <c r="O417" t="s">
        <v>1786</v>
      </c>
      <c r="P417" t="s">
        <v>1766</v>
      </c>
      <c r="Q417" t="s">
        <v>370</v>
      </c>
    </row>
    <row r="418" spans="1:17" ht="14.25" customHeight="1" x14ac:dyDescent="0.2">
      <c r="A418" s="580" t="s">
        <v>1837</v>
      </c>
      <c r="B418" s="110">
        <f t="shared" si="8"/>
        <v>6.57</v>
      </c>
      <c r="C418" s="575">
        <v>46035</v>
      </c>
      <c r="D418" s="569">
        <v>46037</v>
      </c>
      <c r="E418" s="569">
        <v>46037</v>
      </c>
      <c r="F418" t="s">
        <v>1593</v>
      </c>
      <c r="G418" t="s">
        <v>1787</v>
      </c>
      <c r="H418" t="s">
        <v>367</v>
      </c>
      <c r="I418" t="s">
        <v>368</v>
      </c>
      <c r="J418" t="s">
        <v>696</v>
      </c>
      <c r="K418" t="s">
        <v>697</v>
      </c>
      <c r="L418" t="s">
        <v>698</v>
      </c>
      <c r="M418" t="s">
        <v>1788</v>
      </c>
      <c r="N418" t="s">
        <v>369</v>
      </c>
      <c r="O418" t="s">
        <v>1789</v>
      </c>
      <c r="P418" t="s">
        <v>1766</v>
      </c>
      <c r="Q418" t="s">
        <v>370</v>
      </c>
    </row>
    <row r="419" spans="1:17" ht="14.25" customHeight="1" x14ac:dyDescent="0.2">
      <c r="A419" s="580" t="s">
        <v>1763</v>
      </c>
      <c r="B419" s="110">
        <f t="shared" si="8"/>
        <v>1.6600000000000001</v>
      </c>
      <c r="C419" s="575">
        <v>46035</v>
      </c>
      <c r="D419" s="569">
        <v>46037</v>
      </c>
      <c r="E419" s="569">
        <v>46037</v>
      </c>
      <c r="F419" t="s">
        <v>1642</v>
      </c>
      <c r="G419" t="s">
        <v>370</v>
      </c>
      <c r="H419" t="s">
        <v>367</v>
      </c>
      <c r="I419" t="s">
        <v>368</v>
      </c>
      <c r="J419" t="s">
        <v>1757</v>
      </c>
      <c r="K419" t="s">
        <v>1790</v>
      </c>
      <c r="L419" t="s">
        <v>1791</v>
      </c>
      <c r="M419" t="s">
        <v>1792</v>
      </c>
      <c r="N419" t="s">
        <v>741</v>
      </c>
      <c r="O419" t="s">
        <v>1793</v>
      </c>
      <c r="P419" t="s">
        <v>1766</v>
      </c>
      <c r="Q419" t="s">
        <v>370</v>
      </c>
    </row>
    <row r="420" spans="1:17" ht="14.25" customHeight="1" x14ac:dyDescent="0.2">
      <c r="A420" s="580" t="s">
        <v>1836</v>
      </c>
      <c r="B420" s="110">
        <f t="shared" si="8"/>
        <v>4.57</v>
      </c>
      <c r="C420" s="575">
        <v>46035</v>
      </c>
      <c r="D420" s="569">
        <v>46037</v>
      </c>
      <c r="E420" s="569">
        <v>46037</v>
      </c>
      <c r="F420" t="s">
        <v>1092</v>
      </c>
      <c r="G420" t="s">
        <v>370</v>
      </c>
      <c r="H420" t="s">
        <v>367</v>
      </c>
      <c r="I420" t="s">
        <v>368</v>
      </c>
      <c r="J420" t="s">
        <v>1594</v>
      </c>
      <c r="K420" t="s">
        <v>1413</v>
      </c>
      <c r="L420" t="s">
        <v>1615</v>
      </c>
      <c r="M420" t="s">
        <v>1794</v>
      </c>
      <c r="N420" t="s">
        <v>747</v>
      </c>
      <c r="O420" t="s">
        <v>1795</v>
      </c>
      <c r="P420" t="s">
        <v>1766</v>
      </c>
      <c r="Q420" t="s">
        <v>370</v>
      </c>
    </row>
    <row r="421" spans="1:17" ht="14.25" customHeight="1" x14ac:dyDescent="0.2">
      <c r="A421" s="580" t="s">
        <v>1836</v>
      </c>
      <c r="B421" s="110">
        <f t="shared" si="8"/>
        <v>4.6000000000000005</v>
      </c>
      <c r="C421" s="575">
        <v>46035</v>
      </c>
      <c r="D421" s="569">
        <v>46037</v>
      </c>
      <c r="E421" s="569">
        <v>46037</v>
      </c>
      <c r="F421" t="s">
        <v>1796</v>
      </c>
      <c r="G421" t="s">
        <v>1797</v>
      </c>
      <c r="H421" t="s">
        <v>367</v>
      </c>
      <c r="I421" t="s">
        <v>368</v>
      </c>
      <c r="J421" t="s">
        <v>1594</v>
      </c>
      <c r="K421" t="s">
        <v>1595</v>
      </c>
      <c r="L421" t="s">
        <v>1596</v>
      </c>
      <c r="M421" t="s">
        <v>1798</v>
      </c>
      <c r="N421" t="s">
        <v>369</v>
      </c>
      <c r="O421" t="s">
        <v>1799</v>
      </c>
      <c r="P421" t="s">
        <v>1766</v>
      </c>
      <c r="Q421" t="s">
        <v>370</v>
      </c>
    </row>
    <row r="422" spans="1:17" ht="14.25" customHeight="1" x14ac:dyDescent="0.2">
      <c r="A422" s="580" t="s">
        <v>1836</v>
      </c>
      <c r="B422" s="110">
        <f t="shared" si="8"/>
        <v>4.57</v>
      </c>
      <c r="C422" s="575">
        <v>46035</v>
      </c>
      <c r="D422" s="569">
        <v>46037</v>
      </c>
      <c r="E422" s="569">
        <v>46037</v>
      </c>
      <c r="F422" t="s">
        <v>877</v>
      </c>
      <c r="G422" t="s">
        <v>370</v>
      </c>
      <c r="H422" t="s">
        <v>367</v>
      </c>
      <c r="I422" t="s">
        <v>368</v>
      </c>
      <c r="J422" t="s">
        <v>1594</v>
      </c>
      <c r="K422" t="s">
        <v>1413</v>
      </c>
      <c r="L422" t="s">
        <v>1615</v>
      </c>
      <c r="M422" t="s">
        <v>1800</v>
      </c>
      <c r="N422" t="s">
        <v>747</v>
      </c>
      <c r="O422" t="s">
        <v>1801</v>
      </c>
      <c r="P422" t="s">
        <v>1766</v>
      </c>
      <c r="Q422" t="s">
        <v>370</v>
      </c>
    </row>
    <row r="423" spans="1:17" ht="14.25" customHeight="1" x14ac:dyDescent="0.2">
      <c r="A423" s="580" t="s">
        <v>1836</v>
      </c>
      <c r="B423" s="110">
        <f t="shared" si="8"/>
        <v>4.57</v>
      </c>
      <c r="C423" s="575">
        <v>46035</v>
      </c>
      <c r="D423" s="569">
        <v>46037</v>
      </c>
      <c r="E423" s="569">
        <v>46037</v>
      </c>
      <c r="F423" t="s">
        <v>1262</v>
      </c>
      <c r="G423" t="s">
        <v>370</v>
      </c>
      <c r="H423" t="s">
        <v>367</v>
      </c>
      <c r="I423" t="s">
        <v>368</v>
      </c>
      <c r="J423" t="s">
        <v>1594</v>
      </c>
      <c r="K423" t="s">
        <v>1413</v>
      </c>
      <c r="L423" t="s">
        <v>1615</v>
      </c>
      <c r="M423" t="s">
        <v>1802</v>
      </c>
      <c r="N423" t="s">
        <v>747</v>
      </c>
      <c r="O423" t="s">
        <v>1803</v>
      </c>
      <c r="P423" t="s">
        <v>1766</v>
      </c>
      <c r="Q423" t="s">
        <v>370</v>
      </c>
    </row>
    <row r="424" spans="1:17" ht="14.25" customHeight="1" x14ac:dyDescent="0.2">
      <c r="A424" s="580" t="s">
        <v>1836</v>
      </c>
      <c r="B424" s="110">
        <f t="shared" si="8"/>
        <v>4.6000000000000005</v>
      </c>
      <c r="C424" s="575">
        <v>46035</v>
      </c>
      <c r="D424" s="569">
        <v>46037</v>
      </c>
      <c r="E424" s="569">
        <v>46037</v>
      </c>
      <c r="F424" t="s">
        <v>1804</v>
      </c>
      <c r="G424" t="s">
        <v>370</v>
      </c>
      <c r="H424" t="s">
        <v>367</v>
      </c>
      <c r="I424" t="s">
        <v>368</v>
      </c>
      <c r="J424" t="s">
        <v>1594</v>
      </c>
      <c r="K424" t="s">
        <v>1595</v>
      </c>
      <c r="L424" t="s">
        <v>1596</v>
      </c>
      <c r="M424" t="s">
        <v>1805</v>
      </c>
      <c r="N424" t="s">
        <v>741</v>
      </c>
      <c r="O424" t="s">
        <v>1806</v>
      </c>
      <c r="P424" t="s">
        <v>1766</v>
      </c>
      <c r="Q424" t="s">
        <v>370</v>
      </c>
    </row>
    <row r="425" spans="1:17" ht="14.25" customHeight="1" x14ac:dyDescent="0.2">
      <c r="A425" s="580" t="s">
        <v>1836</v>
      </c>
      <c r="B425" s="110">
        <f t="shared" si="8"/>
        <v>4.6000000000000005</v>
      </c>
      <c r="C425" s="575">
        <v>46035</v>
      </c>
      <c r="D425" s="569">
        <v>46037</v>
      </c>
      <c r="E425" s="569">
        <v>46037</v>
      </c>
      <c r="F425" t="s">
        <v>1807</v>
      </c>
      <c r="G425" t="s">
        <v>1807</v>
      </c>
      <c r="H425" t="s">
        <v>367</v>
      </c>
      <c r="I425" t="s">
        <v>368</v>
      </c>
      <c r="J425" t="s">
        <v>1594</v>
      </c>
      <c r="K425" t="s">
        <v>1595</v>
      </c>
      <c r="L425" t="s">
        <v>1596</v>
      </c>
      <c r="M425" t="s">
        <v>1808</v>
      </c>
      <c r="N425" t="s">
        <v>369</v>
      </c>
      <c r="O425" t="s">
        <v>1809</v>
      </c>
      <c r="P425" t="s">
        <v>1766</v>
      </c>
      <c r="Q425" t="s">
        <v>370</v>
      </c>
    </row>
    <row r="426" spans="1:17" ht="14.25" customHeight="1" x14ac:dyDescent="0.2">
      <c r="A426" s="580" t="s">
        <v>1836</v>
      </c>
      <c r="B426" s="110">
        <f t="shared" si="8"/>
        <v>4.6000000000000005</v>
      </c>
      <c r="C426" s="575">
        <v>46035</v>
      </c>
      <c r="D426" s="569">
        <v>46037</v>
      </c>
      <c r="E426" s="569">
        <v>46037</v>
      </c>
      <c r="F426" t="s">
        <v>883</v>
      </c>
      <c r="G426" t="s">
        <v>370</v>
      </c>
      <c r="H426" t="s">
        <v>367</v>
      </c>
      <c r="I426" t="s">
        <v>368</v>
      </c>
      <c r="J426" t="s">
        <v>1594</v>
      </c>
      <c r="K426" t="s">
        <v>1595</v>
      </c>
      <c r="L426" t="s">
        <v>1596</v>
      </c>
      <c r="M426" t="s">
        <v>1810</v>
      </c>
      <c r="N426" t="s">
        <v>741</v>
      </c>
      <c r="O426" t="s">
        <v>1811</v>
      </c>
      <c r="P426" t="s">
        <v>1766</v>
      </c>
      <c r="Q426" t="s">
        <v>370</v>
      </c>
    </row>
    <row r="427" spans="1:17" ht="14.25" customHeight="1" x14ac:dyDescent="0.2">
      <c r="A427" s="580" t="s">
        <v>1836</v>
      </c>
      <c r="B427" s="110">
        <f t="shared" si="8"/>
        <v>4.57</v>
      </c>
      <c r="C427" s="575">
        <v>46035</v>
      </c>
      <c r="D427" s="569">
        <v>46037</v>
      </c>
      <c r="E427" s="569">
        <v>46037</v>
      </c>
      <c r="F427" t="s">
        <v>1407</v>
      </c>
      <c r="G427" t="s">
        <v>370</v>
      </c>
      <c r="H427" t="s">
        <v>367</v>
      </c>
      <c r="I427" t="s">
        <v>368</v>
      </c>
      <c r="J427" t="s">
        <v>1594</v>
      </c>
      <c r="K427" t="s">
        <v>1413</v>
      </c>
      <c r="L427" t="s">
        <v>1615</v>
      </c>
      <c r="M427" t="s">
        <v>1812</v>
      </c>
      <c r="N427" t="s">
        <v>747</v>
      </c>
      <c r="O427" t="s">
        <v>1813</v>
      </c>
      <c r="P427" t="s">
        <v>1766</v>
      </c>
      <c r="Q427" t="s">
        <v>370</v>
      </c>
    </row>
    <row r="428" spans="1:17" ht="14.25" customHeight="1" x14ac:dyDescent="0.2">
      <c r="A428" s="580" t="s">
        <v>1836</v>
      </c>
      <c r="B428" s="110">
        <f t="shared" si="8"/>
        <v>4.6000000000000005</v>
      </c>
      <c r="C428" s="575">
        <v>46035</v>
      </c>
      <c r="D428" s="569">
        <v>46037</v>
      </c>
      <c r="E428" s="569">
        <v>46037</v>
      </c>
      <c r="F428" t="s">
        <v>1137</v>
      </c>
      <c r="G428" t="s">
        <v>370</v>
      </c>
      <c r="H428" t="s">
        <v>367</v>
      </c>
      <c r="I428" t="s">
        <v>368</v>
      </c>
      <c r="J428" t="s">
        <v>1594</v>
      </c>
      <c r="K428" t="s">
        <v>1595</v>
      </c>
      <c r="L428" t="s">
        <v>1596</v>
      </c>
      <c r="M428" t="s">
        <v>1814</v>
      </c>
      <c r="N428" t="s">
        <v>741</v>
      </c>
      <c r="O428" t="s">
        <v>1815</v>
      </c>
      <c r="P428" t="s">
        <v>1766</v>
      </c>
      <c r="Q428" t="s">
        <v>370</v>
      </c>
    </row>
    <row r="429" spans="1:17" ht="14.25" customHeight="1" x14ac:dyDescent="0.2">
      <c r="A429" s="580" t="s">
        <v>1836</v>
      </c>
      <c r="B429" s="110">
        <f t="shared" si="8"/>
        <v>4.6000000000000005</v>
      </c>
      <c r="C429" s="575">
        <v>46035</v>
      </c>
      <c r="D429" s="569">
        <v>46037</v>
      </c>
      <c r="E429" s="569">
        <v>46037</v>
      </c>
      <c r="F429" t="s">
        <v>1816</v>
      </c>
      <c r="G429" t="s">
        <v>370</v>
      </c>
      <c r="H429" t="s">
        <v>367</v>
      </c>
      <c r="I429" t="s">
        <v>368</v>
      </c>
      <c r="J429" t="s">
        <v>1594</v>
      </c>
      <c r="K429" t="s">
        <v>1595</v>
      </c>
      <c r="L429" t="s">
        <v>1596</v>
      </c>
      <c r="M429" t="s">
        <v>1817</v>
      </c>
      <c r="N429" t="s">
        <v>741</v>
      </c>
      <c r="O429" t="s">
        <v>1818</v>
      </c>
      <c r="P429" t="s">
        <v>1766</v>
      </c>
      <c r="Q429" t="s">
        <v>370</v>
      </c>
    </row>
    <row r="430" spans="1:17" ht="14.25" customHeight="1" x14ac:dyDescent="0.2">
      <c r="A430" s="580" t="s">
        <v>1836</v>
      </c>
      <c r="B430" s="110">
        <f t="shared" si="8"/>
        <v>4.6000000000000005</v>
      </c>
      <c r="C430" s="575">
        <v>46035</v>
      </c>
      <c r="D430" s="569">
        <v>46037</v>
      </c>
      <c r="E430" s="569">
        <v>46037</v>
      </c>
      <c r="F430" t="s">
        <v>1819</v>
      </c>
      <c r="G430" t="s">
        <v>370</v>
      </c>
      <c r="H430" t="s">
        <v>367</v>
      </c>
      <c r="I430" t="s">
        <v>368</v>
      </c>
      <c r="J430" t="s">
        <v>1594</v>
      </c>
      <c r="K430" t="s">
        <v>1595</v>
      </c>
      <c r="L430" t="s">
        <v>1596</v>
      </c>
      <c r="M430" t="s">
        <v>1820</v>
      </c>
      <c r="N430" t="s">
        <v>741</v>
      </c>
      <c r="O430" t="s">
        <v>1821</v>
      </c>
      <c r="P430" t="s">
        <v>1766</v>
      </c>
      <c r="Q430" t="s">
        <v>370</v>
      </c>
    </row>
    <row r="431" spans="1:17" ht="14.25" customHeight="1" x14ac:dyDescent="0.2">
      <c r="A431" s="580" t="s">
        <v>1836</v>
      </c>
      <c r="B431" s="110">
        <f t="shared" si="8"/>
        <v>4.57</v>
      </c>
      <c r="C431" s="575">
        <v>46035</v>
      </c>
      <c r="D431" s="569">
        <v>46037</v>
      </c>
      <c r="E431" s="569">
        <v>46037</v>
      </c>
      <c r="F431" t="s">
        <v>1354</v>
      </c>
      <c r="G431" t="s">
        <v>370</v>
      </c>
      <c r="H431" t="s">
        <v>367</v>
      </c>
      <c r="I431" t="s">
        <v>368</v>
      </c>
      <c r="J431" t="s">
        <v>1594</v>
      </c>
      <c r="K431" t="s">
        <v>1413</v>
      </c>
      <c r="L431" t="s">
        <v>1615</v>
      </c>
      <c r="M431" t="s">
        <v>1822</v>
      </c>
      <c r="N431" t="s">
        <v>747</v>
      </c>
      <c r="O431" t="s">
        <v>1823</v>
      </c>
      <c r="P431" t="s">
        <v>1766</v>
      </c>
      <c r="Q431" t="s">
        <v>370</v>
      </c>
    </row>
    <row r="432" spans="1:17" ht="14.25" customHeight="1" x14ac:dyDescent="0.2">
      <c r="A432" s="580" t="s">
        <v>1836</v>
      </c>
      <c r="B432" s="110">
        <f t="shared" si="8"/>
        <v>4.6000000000000005</v>
      </c>
      <c r="C432" s="575">
        <v>46035</v>
      </c>
      <c r="D432" s="569">
        <v>46037</v>
      </c>
      <c r="E432" s="569">
        <v>46037</v>
      </c>
      <c r="F432" t="s">
        <v>971</v>
      </c>
      <c r="G432" t="s">
        <v>370</v>
      </c>
      <c r="H432" t="s">
        <v>367</v>
      </c>
      <c r="I432" t="s">
        <v>368</v>
      </c>
      <c r="J432" t="s">
        <v>1594</v>
      </c>
      <c r="K432" t="s">
        <v>1595</v>
      </c>
      <c r="L432" t="s">
        <v>1596</v>
      </c>
      <c r="M432" t="s">
        <v>1824</v>
      </c>
      <c r="N432" t="s">
        <v>741</v>
      </c>
      <c r="O432" t="s">
        <v>1825</v>
      </c>
      <c r="P432" t="s">
        <v>1766</v>
      </c>
      <c r="Q432" t="s">
        <v>370</v>
      </c>
    </row>
    <row r="433" spans="1:17" ht="14.25" customHeight="1" x14ac:dyDescent="0.2">
      <c r="A433" s="580" t="s">
        <v>1836</v>
      </c>
      <c r="B433" s="110">
        <f t="shared" si="8"/>
        <v>4.6000000000000005</v>
      </c>
      <c r="C433" s="575">
        <v>46035</v>
      </c>
      <c r="D433" s="569">
        <v>46037</v>
      </c>
      <c r="E433" s="569">
        <v>46037</v>
      </c>
      <c r="F433" t="s">
        <v>868</v>
      </c>
      <c r="G433" t="s">
        <v>370</v>
      </c>
      <c r="H433" t="s">
        <v>367</v>
      </c>
      <c r="I433" t="s">
        <v>368</v>
      </c>
      <c r="J433" t="s">
        <v>1594</v>
      </c>
      <c r="K433" t="s">
        <v>1595</v>
      </c>
      <c r="L433" t="s">
        <v>1596</v>
      </c>
      <c r="M433" t="s">
        <v>1826</v>
      </c>
      <c r="N433" t="s">
        <v>741</v>
      </c>
      <c r="O433" t="s">
        <v>1827</v>
      </c>
      <c r="P433" t="s">
        <v>1766</v>
      </c>
      <c r="Q433" t="s">
        <v>370</v>
      </c>
    </row>
    <row r="434" spans="1:17" ht="14.25" customHeight="1" x14ac:dyDescent="0.2">
      <c r="A434" s="580" t="s">
        <v>1835</v>
      </c>
      <c r="B434" s="110">
        <f t="shared" si="8"/>
        <v>3.62</v>
      </c>
      <c r="C434" s="575">
        <v>46035</v>
      </c>
      <c r="D434" s="569">
        <v>46037</v>
      </c>
      <c r="E434" s="569">
        <v>46037</v>
      </c>
      <c r="F434" t="s">
        <v>1828</v>
      </c>
      <c r="G434" t="s">
        <v>370</v>
      </c>
      <c r="H434" t="s">
        <v>367</v>
      </c>
      <c r="I434" t="s">
        <v>368</v>
      </c>
      <c r="J434" t="s">
        <v>1776</v>
      </c>
      <c r="K434" t="s">
        <v>1417</v>
      </c>
      <c r="L434" t="s">
        <v>1400</v>
      </c>
      <c r="M434" t="s">
        <v>1829</v>
      </c>
      <c r="N434" t="s">
        <v>741</v>
      </c>
      <c r="O434" t="s">
        <v>1830</v>
      </c>
      <c r="P434" t="s">
        <v>1766</v>
      </c>
      <c r="Q434" t="s">
        <v>370</v>
      </c>
    </row>
    <row r="435" spans="1:17" ht="14.25" customHeight="1" x14ac:dyDescent="0.2">
      <c r="A435" s="580" t="s">
        <v>1763</v>
      </c>
      <c r="B435" s="110">
        <f t="shared" si="8"/>
        <v>1.6500000000000001</v>
      </c>
      <c r="C435" s="575">
        <v>46035</v>
      </c>
      <c r="D435" s="569">
        <v>46037</v>
      </c>
      <c r="E435" s="569">
        <v>46037</v>
      </c>
      <c r="F435" t="s">
        <v>1273</v>
      </c>
      <c r="G435" t="s">
        <v>370</v>
      </c>
      <c r="H435" t="s">
        <v>367</v>
      </c>
      <c r="I435" t="s">
        <v>368</v>
      </c>
      <c r="J435" t="s">
        <v>1757</v>
      </c>
      <c r="K435" t="s">
        <v>1831</v>
      </c>
      <c r="L435" t="s">
        <v>1832</v>
      </c>
      <c r="M435" t="s">
        <v>1833</v>
      </c>
      <c r="N435" t="s">
        <v>747</v>
      </c>
      <c r="O435" t="s">
        <v>1834</v>
      </c>
      <c r="P435" t="s">
        <v>1766</v>
      </c>
      <c r="Q435" t="s">
        <v>370</v>
      </c>
    </row>
    <row r="436" spans="1:17" ht="14.25" customHeight="1" x14ac:dyDescent="0.2">
      <c r="A436" s="580" t="s">
        <v>1836</v>
      </c>
      <c r="B436" s="110">
        <f t="shared" si="8"/>
        <v>4.6000000000000005</v>
      </c>
      <c r="C436" s="575">
        <v>46036</v>
      </c>
      <c r="D436" s="569">
        <v>46038</v>
      </c>
      <c r="E436" s="569">
        <v>46038</v>
      </c>
      <c r="F436" t="s">
        <v>1115</v>
      </c>
      <c r="G436" t="s">
        <v>370</v>
      </c>
      <c r="H436" t="s">
        <v>367</v>
      </c>
      <c r="I436" t="s">
        <v>368</v>
      </c>
      <c r="J436" t="s">
        <v>1594</v>
      </c>
      <c r="K436" t="s">
        <v>1595</v>
      </c>
      <c r="L436" t="s">
        <v>1596</v>
      </c>
      <c r="M436" t="s">
        <v>1845</v>
      </c>
      <c r="N436" t="s">
        <v>741</v>
      </c>
      <c r="O436" t="s">
        <v>1846</v>
      </c>
      <c r="P436" t="s">
        <v>1841</v>
      </c>
      <c r="Q436" t="s">
        <v>370</v>
      </c>
    </row>
    <row r="437" spans="1:17" ht="14.25" customHeight="1" x14ac:dyDescent="0.2">
      <c r="A437" s="580" t="s">
        <v>1836</v>
      </c>
      <c r="B437" s="110">
        <f t="shared" si="8"/>
        <v>4.6000000000000005</v>
      </c>
      <c r="C437" s="575">
        <v>46036</v>
      </c>
      <c r="D437" s="569">
        <v>46038</v>
      </c>
      <c r="E437" s="569">
        <v>46038</v>
      </c>
      <c r="F437" t="s">
        <v>1431</v>
      </c>
      <c r="G437" t="s">
        <v>370</v>
      </c>
      <c r="H437" t="s">
        <v>367</v>
      </c>
      <c r="I437" t="s">
        <v>368</v>
      </c>
      <c r="J437" t="s">
        <v>1594</v>
      </c>
      <c r="K437" t="s">
        <v>1595</v>
      </c>
      <c r="L437" t="s">
        <v>1596</v>
      </c>
      <c r="M437" t="s">
        <v>1847</v>
      </c>
      <c r="N437" t="s">
        <v>741</v>
      </c>
      <c r="O437" s="574" t="s">
        <v>1848</v>
      </c>
      <c r="P437" t="s">
        <v>1841</v>
      </c>
      <c r="Q437" t="s">
        <v>370</v>
      </c>
    </row>
    <row r="438" spans="1:17" ht="14.25" customHeight="1" x14ac:dyDescent="0.2">
      <c r="A438" s="580" t="s">
        <v>1836</v>
      </c>
      <c r="B438" s="110">
        <f t="shared" si="8"/>
        <v>4.6000000000000005</v>
      </c>
      <c r="C438" s="575">
        <v>46036</v>
      </c>
      <c r="D438" s="569">
        <v>46038</v>
      </c>
      <c r="E438" s="569">
        <v>46038</v>
      </c>
      <c r="F438" t="s">
        <v>1005</v>
      </c>
      <c r="G438" t="s">
        <v>1005</v>
      </c>
      <c r="H438" t="s">
        <v>367</v>
      </c>
      <c r="I438" t="s">
        <v>368</v>
      </c>
      <c r="J438" t="s">
        <v>1594</v>
      </c>
      <c r="K438" t="s">
        <v>1595</v>
      </c>
      <c r="L438" t="s">
        <v>1596</v>
      </c>
      <c r="M438" t="s">
        <v>1849</v>
      </c>
      <c r="N438" t="s">
        <v>369</v>
      </c>
      <c r="O438" t="s">
        <v>1850</v>
      </c>
      <c r="P438" t="s">
        <v>1841</v>
      </c>
      <c r="Q438" t="s">
        <v>370</v>
      </c>
    </row>
    <row r="439" spans="1:17" ht="14.25" customHeight="1" x14ac:dyDescent="0.2">
      <c r="A439" s="580" t="s">
        <v>1836</v>
      </c>
      <c r="B439" s="110">
        <f t="shared" si="8"/>
        <v>4.6000000000000005</v>
      </c>
      <c r="C439" s="575">
        <v>46036</v>
      </c>
      <c r="D439" s="569">
        <v>46038</v>
      </c>
      <c r="E439" s="569">
        <v>46038</v>
      </c>
      <c r="F439" t="s">
        <v>1096</v>
      </c>
      <c r="G439" t="s">
        <v>370</v>
      </c>
      <c r="H439" t="s">
        <v>367</v>
      </c>
      <c r="I439" t="s">
        <v>368</v>
      </c>
      <c r="J439" t="s">
        <v>1594</v>
      </c>
      <c r="K439" t="s">
        <v>1595</v>
      </c>
      <c r="L439" t="s">
        <v>1596</v>
      </c>
      <c r="M439" t="s">
        <v>1851</v>
      </c>
      <c r="N439" t="s">
        <v>741</v>
      </c>
      <c r="O439" t="s">
        <v>1852</v>
      </c>
      <c r="P439" t="s">
        <v>1841</v>
      </c>
      <c r="Q439" t="s">
        <v>370</v>
      </c>
    </row>
    <row r="440" spans="1:17" ht="14.25" customHeight="1" x14ac:dyDescent="0.2">
      <c r="A440" s="580" t="s">
        <v>1836</v>
      </c>
      <c r="B440" s="110">
        <f t="shared" si="8"/>
        <v>4.6000000000000005</v>
      </c>
      <c r="C440" s="575">
        <v>46036</v>
      </c>
      <c r="D440" s="569">
        <v>46038</v>
      </c>
      <c r="E440" s="569">
        <v>46038</v>
      </c>
      <c r="F440" t="s">
        <v>1176</v>
      </c>
      <c r="G440" t="s">
        <v>370</v>
      </c>
      <c r="H440" t="s">
        <v>367</v>
      </c>
      <c r="I440" t="s">
        <v>368</v>
      </c>
      <c r="J440" t="s">
        <v>1594</v>
      </c>
      <c r="K440" t="s">
        <v>1595</v>
      </c>
      <c r="L440" t="s">
        <v>1596</v>
      </c>
      <c r="M440" t="s">
        <v>1853</v>
      </c>
      <c r="N440" t="s">
        <v>781</v>
      </c>
      <c r="O440" t="s">
        <v>1854</v>
      </c>
      <c r="P440" t="s">
        <v>1841</v>
      </c>
      <c r="Q440" t="s">
        <v>370</v>
      </c>
    </row>
    <row r="441" spans="1:17" ht="14.25" customHeight="1" x14ac:dyDescent="0.2">
      <c r="A441" s="580" t="s">
        <v>1836</v>
      </c>
      <c r="B441" s="110">
        <f t="shared" si="8"/>
        <v>4.6000000000000005</v>
      </c>
      <c r="C441" s="575">
        <v>46036</v>
      </c>
      <c r="D441" s="569">
        <v>46038</v>
      </c>
      <c r="E441" s="569">
        <v>46038</v>
      </c>
      <c r="F441" t="s">
        <v>887</v>
      </c>
      <c r="G441" t="s">
        <v>887</v>
      </c>
      <c r="H441" t="s">
        <v>367</v>
      </c>
      <c r="I441" t="s">
        <v>368</v>
      </c>
      <c r="J441" t="s">
        <v>1594</v>
      </c>
      <c r="K441" t="s">
        <v>1595</v>
      </c>
      <c r="L441" t="s">
        <v>1596</v>
      </c>
      <c r="M441" t="s">
        <v>1855</v>
      </c>
      <c r="N441" t="s">
        <v>369</v>
      </c>
      <c r="O441" t="s">
        <v>1856</v>
      </c>
      <c r="P441" t="s">
        <v>1841</v>
      </c>
      <c r="Q441" t="s">
        <v>370</v>
      </c>
    </row>
    <row r="442" spans="1:17" ht="14.25" customHeight="1" x14ac:dyDescent="0.2">
      <c r="A442" s="580" t="s">
        <v>1836</v>
      </c>
      <c r="B442" s="110">
        <f t="shared" si="8"/>
        <v>4.57</v>
      </c>
      <c r="C442" s="575">
        <v>46036</v>
      </c>
      <c r="D442" s="569">
        <v>46038</v>
      </c>
      <c r="E442" s="569">
        <v>46038</v>
      </c>
      <c r="F442" t="s">
        <v>841</v>
      </c>
      <c r="G442" t="s">
        <v>370</v>
      </c>
      <c r="H442" t="s">
        <v>367</v>
      </c>
      <c r="I442" t="s">
        <v>368</v>
      </c>
      <c r="J442" t="s">
        <v>1594</v>
      </c>
      <c r="K442" t="s">
        <v>1413</v>
      </c>
      <c r="L442" t="s">
        <v>1615</v>
      </c>
      <c r="M442" t="s">
        <v>1857</v>
      </c>
      <c r="N442" t="s">
        <v>747</v>
      </c>
      <c r="O442" t="s">
        <v>1858</v>
      </c>
      <c r="P442" t="s">
        <v>1841</v>
      </c>
      <c r="Q442" t="s">
        <v>370</v>
      </c>
    </row>
    <row r="443" spans="1:17" ht="14.25" customHeight="1" x14ac:dyDescent="0.2">
      <c r="A443" s="580" t="s">
        <v>1836</v>
      </c>
      <c r="B443" s="110">
        <f t="shared" si="8"/>
        <v>4.57</v>
      </c>
      <c r="C443" s="575">
        <v>46036</v>
      </c>
      <c r="D443" s="569">
        <v>46038</v>
      </c>
      <c r="E443" s="569">
        <v>46038</v>
      </c>
      <c r="F443" t="s">
        <v>968</v>
      </c>
      <c r="G443" t="s">
        <v>370</v>
      </c>
      <c r="H443" t="s">
        <v>367</v>
      </c>
      <c r="I443" t="s">
        <v>368</v>
      </c>
      <c r="J443" t="s">
        <v>1594</v>
      </c>
      <c r="K443" t="s">
        <v>1413</v>
      </c>
      <c r="L443" t="s">
        <v>1615</v>
      </c>
      <c r="M443" t="s">
        <v>1859</v>
      </c>
      <c r="N443" t="s">
        <v>747</v>
      </c>
      <c r="O443" t="s">
        <v>1860</v>
      </c>
      <c r="P443" t="s">
        <v>1841</v>
      </c>
      <c r="Q443" t="s">
        <v>370</v>
      </c>
    </row>
    <row r="444" spans="1:17" ht="14.25" customHeight="1" x14ac:dyDescent="0.2">
      <c r="A444" s="580" t="s">
        <v>1836</v>
      </c>
      <c r="B444" s="110">
        <f t="shared" si="8"/>
        <v>4.6000000000000005</v>
      </c>
      <c r="C444" s="575">
        <v>46036</v>
      </c>
      <c r="D444" s="569">
        <v>46038</v>
      </c>
      <c r="E444" s="569">
        <v>46038</v>
      </c>
      <c r="F444" t="s">
        <v>977</v>
      </c>
      <c r="G444" t="s">
        <v>370</v>
      </c>
      <c r="H444" t="s">
        <v>367</v>
      </c>
      <c r="I444" t="s">
        <v>368</v>
      </c>
      <c r="J444" t="s">
        <v>1594</v>
      </c>
      <c r="K444" t="s">
        <v>1595</v>
      </c>
      <c r="L444" t="s">
        <v>1596</v>
      </c>
      <c r="M444" t="s">
        <v>1861</v>
      </c>
      <c r="N444" t="s">
        <v>741</v>
      </c>
      <c r="O444" t="s">
        <v>1862</v>
      </c>
      <c r="P444" t="s">
        <v>1841</v>
      </c>
      <c r="Q444" t="s">
        <v>370</v>
      </c>
    </row>
    <row r="445" spans="1:17" ht="14.25" customHeight="1" x14ac:dyDescent="0.2">
      <c r="A445" s="580" t="s">
        <v>1763</v>
      </c>
      <c r="B445" s="110">
        <f t="shared" si="8"/>
        <v>1.6600000000000001</v>
      </c>
      <c r="C445" s="575">
        <v>46036</v>
      </c>
      <c r="D445" s="569">
        <v>46038</v>
      </c>
      <c r="E445" s="569">
        <v>46038</v>
      </c>
      <c r="F445" t="s">
        <v>1863</v>
      </c>
      <c r="G445" t="s">
        <v>1864</v>
      </c>
      <c r="H445" t="s">
        <v>367</v>
      </c>
      <c r="I445" t="s">
        <v>368</v>
      </c>
      <c r="J445" t="s">
        <v>1757</v>
      </c>
      <c r="K445" t="s">
        <v>1790</v>
      </c>
      <c r="L445" t="s">
        <v>1791</v>
      </c>
      <c r="M445" t="s">
        <v>1865</v>
      </c>
      <c r="N445" t="s">
        <v>369</v>
      </c>
      <c r="O445" t="s">
        <v>1866</v>
      </c>
      <c r="P445" t="s">
        <v>1841</v>
      </c>
      <c r="Q445" t="s">
        <v>370</v>
      </c>
    </row>
    <row r="446" spans="1:17" ht="14.25" customHeight="1" x14ac:dyDescent="0.2">
      <c r="A446" s="580" t="s">
        <v>1835</v>
      </c>
      <c r="B446" s="110">
        <f t="shared" si="8"/>
        <v>3.62</v>
      </c>
      <c r="C446" s="575">
        <v>46036</v>
      </c>
      <c r="D446" s="569">
        <v>46038</v>
      </c>
      <c r="E446" s="569">
        <v>46038</v>
      </c>
      <c r="F446" t="s">
        <v>1867</v>
      </c>
      <c r="G446" t="s">
        <v>370</v>
      </c>
      <c r="H446" t="s">
        <v>367</v>
      </c>
      <c r="I446" t="s">
        <v>368</v>
      </c>
      <c r="J446" t="s">
        <v>1776</v>
      </c>
      <c r="K446" t="s">
        <v>1417</v>
      </c>
      <c r="L446" t="s">
        <v>1400</v>
      </c>
      <c r="M446" t="s">
        <v>1868</v>
      </c>
      <c r="N446" t="s">
        <v>741</v>
      </c>
      <c r="O446" t="s">
        <v>1869</v>
      </c>
      <c r="P446" t="s">
        <v>1841</v>
      </c>
      <c r="Q446" t="s">
        <v>370</v>
      </c>
    </row>
    <row r="447" spans="1:17" ht="14.25" customHeight="1" x14ac:dyDescent="0.2">
      <c r="A447" s="580" t="s">
        <v>1763</v>
      </c>
      <c r="B447" s="110">
        <f t="shared" si="8"/>
        <v>1.6600000000000001</v>
      </c>
      <c r="C447" s="575">
        <v>46036</v>
      </c>
      <c r="D447" s="569">
        <v>46038</v>
      </c>
      <c r="E447" s="569">
        <v>46038</v>
      </c>
      <c r="F447" t="s">
        <v>1604</v>
      </c>
      <c r="G447" t="s">
        <v>1605</v>
      </c>
      <c r="H447" t="s">
        <v>367</v>
      </c>
      <c r="I447" t="s">
        <v>368</v>
      </c>
      <c r="J447" t="s">
        <v>1757</v>
      </c>
      <c r="K447" t="s">
        <v>1790</v>
      </c>
      <c r="L447" t="s">
        <v>1791</v>
      </c>
      <c r="M447" t="s">
        <v>1870</v>
      </c>
      <c r="N447" t="s">
        <v>369</v>
      </c>
      <c r="O447" t="s">
        <v>1871</v>
      </c>
      <c r="P447" t="s">
        <v>1841</v>
      </c>
      <c r="Q447" t="s">
        <v>370</v>
      </c>
    </row>
    <row r="448" spans="1:17" ht="14.25" customHeight="1" x14ac:dyDescent="0.2">
      <c r="A448" s="580" t="s">
        <v>1836</v>
      </c>
      <c r="B448" s="110">
        <f t="shared" si="8"/>
        <v>4.55</v>
      </c>
      <c r="C448" s="575">
        <v>46036</v>
      </c>
      <c r="D448" s="569">
        <v>46038</v>
      </c>
      <c r="E448" s="569">
        <v>46038</v>
      </c>
      <c r="F448" t="s">
        <v>1872</v>
      </c>
      <c r="G448" t="s">
        <v>1872</v>
      </c>
      <c r="H448" t="s">
        <v>367</v>
      </c>
      <c r="I448" t="s">
        <v>368</v>
      </c>
      <c r="J448" t="s">
        <v>1594</v>
      </c>
      <c r="K448" t="s">
        <v>1873</v>
      </c>
      <c r="L448" t="s">
        <v>1874</v>
      </c>
      <c r="M448" t="s">
        <v>1875</v>
      </c>
      <c r="N448" t="s">
        <v>369</v>
      </c>
      <c r="O448" t="s">
        <v>1876</v>
      </c>
      <c r="P448" t="s">
        <v>1841</v>
      </c>
      <c r="Q448" t="s">
        <v>370</v>
      </c>
    </row>
    <row r="449" spans="1:17" ht="14.25" customHeight="1" x14ac:dyDescent="0.2">
      <c r="A449" s="580" t="s">
        <v>1763</v>
      </c>
      <c r="B449" s="110">
        <f t="shared" si="8"/>
        <v>1.6500000000000001</v>
      </c>
      <c r="C449" s="575">
        <v>46036</v>
      </c>
      <c r="D449" s="569">
        <v>46038</v>
      </c>
      <c r="E449" s="569">
        <v>46038</v>
      </c>
      <c r="F449" t="s">
        <v>940</v>
      </c>
      <c r="G449" t="s">
        <v>370</v>
      </c>
      <c r="H449" t="s">
        <v>367</v>
      </c>
      <c r="I449" t="s">
        <v>368</v>
      </c>
      <c r="J449" t="s">
        <v>1757</v>
      </c>
      <c r="K449" t="s">
        <v>1831</v>
      </c>
      <c r="L449" t="s">
        <v>1832</v>
      </c>
      <c r="M449" t="s">
        <v>1877</v>
      </c>
      <c r="N449" t="s">
        <v>747</v>
      </c>
      <c r="O449" t="s">
        <v>1878</v>
      </c>
      <c r="P449" t="s">
        <v>1841</v>
      </c>
      <c r="Q449" t="s">
        <v>370</v>
      </c>
    </row>
    <row r="450" spans="1:17" ht="14.25" customHeight="1" x14ac:dyDescent="0.2">
      <c r="A450" s="580" t="s">
        <v>1836</v>
      </c>
      <c r="B450" s="110">
        <f t="shared" si="8"/>
        <v>4.57</v>
      </c>
      <c r="C450" s="575">
        <v>46036</v>
      </c>
      <c r="D450" s="569">
        <v>46038</v>
      </c>
      <c r="E450" s="569">
        <v>46038</v>
      </c>
      <c r="F450" t="s">
        <v>838</v>
      </c>
      <c r="G450" t="s">
        <v>370</v>
      </c>
      <c r="H450" t="s">
        <v>367</v>
      </c>
      <c r="I450" t="s">
        <v>368</v>
      </c>
      <c r="J450" t="s">
        <v>1594</v>
      </c>
      <c r="K450" t="s">
        <v>1413</v>
      </c>
      <c r="L450" t="s">
        <v>1615</v>
      </c>
      <c r="M450" t="s">
        <v>1879</v>
      </c>
      <c r="N450" t="s">
        <v>747</v>
      </c>
      <c r="O450" t="s">
        <v>1880</v>
      </c>
      <c r="P450" t="s">
        <v>1841</v>
      </c>
      <c r="Q450" t="s">
        <v>370</v>
      </c>
    </row>
    <row r="451" spans="1:17" ht="14.25" customHeight="1" x14ac:dyDescent="0.2">
      <c r="A451" s="580" t="s">
        <v>1763</v>
      </c>
      <c r="B451" s="110">
        <f t="shared" si="8"/>
        <v>7.55</v>
      </c>
      <c r="C451" s="575">
        <v>46036</v>
      </c>
      <c r="D451" s="569">
        <v>46038</v>
      </c>
      <c r="E451" s="569">
        <v>46038</v>
      </c>
      <c r="F451" t="s">
        <v>1881</v>
      </c>
      <c r="G451" t="s">
        <v>370</v>
      </c>
      <c r="H451" t="s">
        <v>367</v>
      </c>
      <c r="I451" t="s">
        <v>368</v>
      </c>
      <c r="J451" t="s">
        <v>1882</v>
      </c>
      <c r="K451" t="s">
        <v>1883</v>
      </c>
      <c r="L451" t="s">
        <v>1676</v>
      </c>
      <c r="M451" t="s">
        <v>1884</v>
      </c>
      <c r="N451" t="s">
        <v>741</v>
      </c>
      <c r="O451" t="s">
        <v>1885</v>
      </c>
      <c r="P451" t="s">
        <v>1841</v>
      </c>
      <c r="Q451" t="s">
        <v>370</v>
      </c>
    </row>
    <row r="452" spans="1:17" ht="14.25" customHeight="1" x14ac:dyDescent="0.2">
      <c r="A452" s="580" t="s">
        <v>1836</v>
      </c>
      <c r="B452" s="110">
        <f t="shared" si="8"/>
        <v>4.57</v>
      </c>
      <c r="C452" s="575">
        <v>46036</v>
      </c>
      <c r="D452" s="569">
        <v>46038</v>
      </c>
      <c r="E452" s="569">
        <v>46038</v>
      </c>
      <c r="F452" t="s">
        <v>1886</v>
      </c>
      <c r="G452" t="s">
        <v>370</v>
      </c>
      <c r="H452" t="s">
        <v>367</v>
      </c>
      <c r="I452" t="s">
        <v>368</v>
      </c>
      <c r="J452" t="s">
        <v>1594</v>
      </c>
      <c r="K452" t="s">
        <v>1413</v>
      </c>
      <c r="L452" t="s">
        <v>1615</v>
      </c>
      <c r="M452" t="s">
        <v>1887</v>
      </c>
      <c r="N452" t="s">
        <v>747</v>
      </c>
      <c r="O452" t="s">
        <v>1888</v>
      </c>
      <c r="P452" t="s">
        <v>1841</v>
      </c>
      <c r="Q452" t="s">
        <v>370</v>
      </c>
    </row>
    <row r="453" spans="1:17" ht="14.25" customHeight="1" x14ac:dyDescent="0.2">
      <c r="A453" s="580" t="s">
        <v>1836</v>
      </c>
      <c r="B453" s="110">
        <f t="shared" si="8"/>
        <v>4.6000000000000005</v>
      </c>
      <c r="C453" s="575">
        <v>46036</v>
      </c>
      <c r="D453" s="569">
        <v>46038</v>
      </c>
      <c r="E453" s="569">
        <v>46038</v>
      </c>
      <c r="F453" t="s">
        <v>865</v>
      </c>
      <c r="G453" t="s">
        <v>370</v>
      </c>
      <c r="H453" t="s">
        <v>367</v>
      </c>
      <c r="I453" t="s">
        <v>368</v>
      </c>
      <c r="J453" t="s">
        <v>1594</v>
      </c>
      <c r="K453" t="s">
        <v>1595</v>
      </c>
      <c r="L453" t="s">
        <v>1596</v>
      </c>
      <c r="M453" t="s">
        <v>1889</v>
      </c>
      <c r="N453" t="s">
        <v>741</v>
      </c>
      <c r="O453" t="s">
        <v>1890</v>
      </c>
      <c r="P453" t="s">
        <v>1841</v>
      </c>
      <c r="Q453" t="s">
        <v>370</v>
      </c>
    </row>
    <row r="454" spans="1:17" ht="14.25" customHeight="1" x14ac:dyDescent="0.2">
      <c r="A454" s="580" t="s">
        <v>1836</v>
      </c>
      <c r="B454" s="110">
        <f t="shared" si="8"/>
        <v>4.57</v>
      </c>
      <c r="C454" s="575">
        <v>46036</v>
      </c>
      <c r="D454" s="569">
        <v>46038</v>
      </c>
      <c r="E454" s="569">
        <v>46038</v>
      </c>
      <c r="F454" t="s">
        <v>810</v>
      </c>
      <c r="G454" t="s">
        <v>370</v>
      </c>
      <c r="H454" t="s">
        <v>367</v>
      </c>
      <c r="I454" t="s">
        <v>368</v>
      </c>
      <c r="J454" t="s">
        <v>1594</v>
      </c>
      <c r="K454" t="s">
        <v>1413</v>
      </c>
      <c r="L454" t="s">
        <v>1615</v>
      </c>
      <c r="M454" t="s">
        <v>1891</v>
      </c>
      <c r="N454" t="s">
        <v>747</v>
      </c>
      <c r="O454" t="s">
        <v>1892</v>
      </c>
      <c r="P454" t="s">
        <v>1841</v>
      </c>
      <c r="Q454" t="s">
        <v>370</v>
      </c>
    </row>
    <row r="455" spans="1:17" ht="14.25" customHeight="1" x14ac:dyDescent="0.2">
      <c r="A455" s="580" t="s">
        <v>1763</v>
      </c>
      <c r="B455" s="110">
        <f t="shared" si="8"/>
        <v>1.6600000000000001</v>
      </c>
      <c r="C455" s="575">
        <v>46036</v>
      </c>
      <c r="D455" s="569">
        <v>46038</v>
      </c>
      <c r="E455" s="569">
        <v>46038</v>
      </c>
      <c r="F455" t="s">
        <v>1629</v>
      </c>
      <c r="G455" t="s">
        <v>370</v>
      </c>
      <c r="H455" t="s">
        <v>367</v>
      </c>
      <c r="I455" t="s">
        <v>368</v>
      </c>
      <c r="J455" t="s">
        <v>1757</v>
      </c>
      <c r="K455" t="s">
        <v>1790</v>
      </c>
      <c r="L455" t="s">
        <v>1791</v>
      </c>
      <c r="M455" t="s">
        <v>1893</v>
      </c>
      <c r="N455" t="s">
        <v>741</v>
      </c>
      <c r="O455" t="s">
        <v>1894</v>
      </c>
      <c r="P455" t="s">
        <v>1841</v>
      </c>
      <c r="Q455" t="s">
        <v>370</v>
      </c>
    </row>
    <row r="456" spans="1:17" ht="14.25" customHeight="1" x14ac:dyDescent="0.2">
      <c r="A456" s="580" t="s">
        <v>1763</v>
      </c>
      <c r="B456" s="110">
        <f t="shared" si="8"/>
        <v>1.6600000000000001</v>
      </c>
      <c r="C456" s="575">
        <v>46036</v>
      </c>
      <c r="D456" s="569">
        <v>46038</v>
      </c>
      <c r="E456" s="569">
        <v>46038</v>
      </c>
      <c r="F456" t="s">
        <v>952</v>
      </c>
      <c r="G456" t="s">
        <v>952</v>
      </c>
      <c r="H456" t="s">
        <v>367</v>
      </c>
      <c r="I456" t="s">
        <v>368</v>
      </c>
      <c r="J456" t="s">
        <v>1757</v>
      </c>
      <c r="K456" t="s">
        <v>1790</v>
      </c>
      <c r="L456" t="s">
        <v>1791</v>
      </c>
      <c r="M456" t="s">
        <v>1895</v>
      </c>
      <c r="N456" t="s">
        <v>369</v>
      </c>
      <c r="O456" t="s">
        <v>1896</v>
      </c>
      <c r="P456" t="s">
        <v>1841</v>
      </c>
      <c r="Q456" t="s">
        <v>370</v>
      </c>
    </row>
    <row r="457" spans="1:17" ht="14.25" customHeight="1" x14ac:dyDescent="0.2">
      <c r="A457" s="580" t="s">
        <v>1763</v>
      </c>
      <c r="B457" s="110">
        <f t="shared" si="8"/>
        <v>1.6600000000000001</v>
      </c>
      <c r="C457" s="575">
        <v>46036</v>
      </c>
      <c r="D457" s="569">
        <v>46038</v>
      </c>
      <c r="E457" s="569">
        <v>46038</v>
      </c>
      <c r="F457" t="s">
        <v>1590</v>
      </c>
      <c r="G457" t="s">
        <v>370</v>
      </c>
      <c r="H457" t="s">
        <v>367</v>
      </c>
      <c r="I457" t="s">
        <v>368</v>
      </c>
      <c r="J457" t="s">
        <v>1757</v>
      </c>
      <c r="K457" t="s">
        <v>1790</v>
      </c>
      <c r="L457" t="s">
        <v>1791</v>
      </c>
      <c r="M457" t="s">
        <v>1897</v>
      </c>
      <c r="N457" t="s">
        <v>741</v>
      </c>
      <c r="O457" t="s">
        <v>1898</v>
      </c>
      <c r="P457" t="s">
        <v>1841</v>
      </c>
      <c r="Q457" t="s">
        <v>370</v>
      </c>
    </row>
    <row r="458" spans="1:17" ht="14.25" customHeight="1" x14ac:dyDescent="0.2">
      <c r="A458" s="580" t="s">
        <v>1763</v>
      </c>
      <c r="B458" s="110">
        <f t="shared" si="8"/>
        <v>1.6500000000000001</v>
      </c>
      <c r="C458" s="575">
        <v>46036</v>
      </c>
      <c r="D458" s="569">
        <v>46038</v>
      </c>
      <c r="E458" s="569">
        <v>46038</v>
      </c>
      <c r="F458" t="s">
        <v>1092</v>
      </c>
      <c r="G458" t="s">
        <v>370</v>
      </c>
      <c r="H458" t="s">
        <v>367</v>
      </c>
      <c r="I458" t="s">
        <v>368</v>
      </c>
      <c r="J458" t="s">
        <v>1757</v>
      </c>
      <c r="K458" t="s">
        <v>1831</v>
      </c>
      <c r="L458" t="s">
        <v>1832</v>
      </c>
      <c r="M458" t="s">
        <v>1899</v>
      </c>
      <c r="N458" t="s">
        <v>747</v>
      </c>
      <c r="O458" t="s">
        <v>1900</v>
      </c>
      <c r="P458" t="s">
        <v>1841</v>
      </c>
      <c r="Q458" t="s">
        <v>370</v>
      </c>
    </row>
    <row r="459" spans="1:17" ht="14.25" customHeight="1" x14ac:dyDescent="0.2">
      <c r="A459" s="580" t="s">
        <v>1836</v>
      </c>
      <c r="B459" s="110">
        <f t="shared" si="8"/>
        <v>4.6000000000000005</v>
      </c>
      <c r="C459" s="575">
        <v>46036</v>
      </c>
      <c r="D459" s="569">
        <v>46038</v>
      </c>
      <c r="E459" s="569">
        <v>46038</v>
      </c>
      <c r="F459" t="s">
        <v>921</v>
      </c>
      <c r="G459" t="s">
        <v>370</v>
      </c>
      <c r="H459" t="s">
        <v>367</v>
      </c>
      <c r="I459" t="s">
        <v>368</v>
      </c>
      <c r="J459" t="s">
        <v>1594</v>
      </c>
      <c r="K459" t="s">
        <v>1595</v>
      </c>
      <c r="L459" t="s">
        <v>1596</v>
      </c>
      <c r="M459" t="s">
        <v>1901</v>
      </c>
      <c r="N459" t="s">
        <v>741</v>
      </c>
      <c r="O459" t="s">
        <v>1902</v>
      </c>
      <c r="P459" t="s">
        <v>1841</v>
      </c>
      <c r="Q459" t="s">
        <v>370</v>
      </c>
    </row>
    <row r="460" spans="1:17" ht="14.25" customHeight="1" x14ac:dyDescent="0.2">
      <c r="A460" s="580" t="s">
        <v>1836</v>
      </c>
      <c r="B460" s="110">
        <f t="shared" si="8"/>
        <v>4.6000000000000005</v>
      </c>
      <c r="C460" s="575">
        <v>46036</v>
      </c>
      <c r="D460" s="569">
        <v>46038</v>
      </c>
      <c r="E460" s="569">
        <v>46038</v>
      </c>
      <c r="F460" t="s">
        <v>1903</v>
      </c>
      <c r="G460" t="s">
        <v>370</v>
      </c>
      <c r="H460" t="s">
        <v>367</v>
      </c>
      <c r="I460" t="s">
        <v>368</v>
      </c>
      <c r="J460" t="s">
        <v>1594</v>
      </c>
      <c r="K460" t="s">
        <v>1595</v>
      </c>
      <c r="L460" t="s">
        <v>1596</v>
      </c>
      <c r="M460" t="s">
        <v>1904</v>
      </c>
      <c r="N460" t="s">
        <v>741</v>
      </c>
      <c r="O460" t="s">
        <v>1905</v>
      </c>
      <c r="P460" t="s">
        <v>1841</v>
      </c>
      <c r="Q460" t="s">
        <v>370</v>
      </c>
    </row>
    <row r="461" spans="1:17" ht="14.25" customHeight="1" x14ac:dyDescent="0.2">
      <c r="A461" s="580" t="s">
        <v>1836</v>
      </c>
      <c r="B461" s="110">
        <f t="shared" si="8"/>
        <v>4.6000000000000005</v>
      </c>
      <c r="C461" s="575">
        <v>46037</v>
      </c>
      <c r="D461" s="569">
        <v>46038</v>
      </c>
      <c r="E461" s="569">
        <v>46038</v>
      </c>
      <c r="F461" t="s">
        <v>1838</v>
      </c>
      <c r="G461" t="s">
        <v>1838</v>
      </c>
      <c r="H461" t="s">
        <v>367</v>
      </c>
      <c r="I461" t="s">
        <v>368</v>
      </c>
      <c r="J461" t="s">
        <v>1594</v>
      </c>
      <c r="K461" t="s">
        <v>1595</v>
      </c>
      <c r="L461" t="s">
        <v>1596</v>
      </c>
      <c r="M461" t="s">
        <v>1839</v>
      </c>
      <c r="N461" t="s">
        <v>369</v>
      </c>
      <c r="O461" t="s">
        <v>1840</v>
      </c>
      <c r="P461" t="s">
        <v>1841</v>
      </c>
      <c r="Q461" t="s">
        <v>370</v>
      </c>
    </row>
    <row r="462" spans="1:17" ht="14.25" customHeight="1" x14ac:dyDescent="0.2">
      <c r="A462" s="580" t="s">
        <v>1836</v>
      </c>
      <c r="B462" s="110">
        <f t="shared" si="8"/>
        <v>4.6000000000000005</v>
      </c>
      <c r="C462" s="575">
        <v>46037</v>
      </c>
      <c r="D462" s="569">
        <v>46038</v>
      </c>
      <c r="E462" s="569">
        <v>46038</v>
      </c>
      <c r="F462" t="s">
        <v>1842</v>
      </c>
      <c r="G462" t="s">
        <v>1842</v>
      </c>
      <c r="H462" t="s">
        <v>367</v>
      </c>
      <c r="I462" t="s">
        <v>368</v>
      </c>
      <c r="J462" t="s">
        <v>1594</v>
      </c>
      <c r="K462" t="s">
        <v>1595</v>
      </c>
      <c r="L462" t="s">
        <v>1596</v>
      </c>
      <c r="M462" t="s">
        <v>1843</v>
      </c>
      <c r="N462" t="s">
        <v>369</v>
      </c>
      <c r="O462" t="s">
        <v>1844</v>
      </c>
      <c r="P462" t="s">
        <v>1841</v>
      </c>
      <c r="Q462" t="s">
        <v>370</v>
      </c>
    </row>
    <row r="463" spans="1:17" ht="14.25" customHeight="1" x14ac:dyDescent="0.2">
      <c r="A463" s="580" t="s">
        <v>1836</v>
      </c>
      <c r="B463" s="110">
        <f t="shared" si="8"/>
        <v>4.6000000000000005</v>
      </c>
      <c r="C463" s="575">
        <v>46037</v>
      </c>
      <c r="D463" s="569">
        <v>46041</v>
      </c>
      <c r="E463" s="569">
        <v>46041</v>
      </c>
      <c r="F463" t="s">
        <v>800</v>
      </c>
      <c r="G463" t="s">
        <v>370</v>
      </c>
      <c r="H463" t="s">
        <v>367</v>
      </c>
      <c r="I463" t="s">
        <v>368</v>
      </c>
      <c r="J463" t="s">
        <v>1594</v>
      </c>
      <c r="K463" t="s">
        <v>1595</v>
      </c>
      <c r="L463" t="s">
        <v>1596</v>
      </c>
      <c r="M463" t="s">
        <v>1906</v>
      </c>
      <c r="N463" t="s">
        <v>741</v>
      </c>
      <c r="O463" t="s">
        <v>1907</v>
      </c>
      <c r="P463" t="s">
        <v>1908</v>
      </c>
      <c r="Q463" t="s">
        <v>370</v>
      </c>
    </row>
    <row r="464" spans="1:17" ht="14.25" customHeight="1" x14ac:dyDescent="0.2">
      <c r="A464" s="580" t="s">
        <v>1836</v>
      </c>
      <c r="B464" s="110">
        <f t="shared" si="8"/>
        <v>4.6000000000000005</v>
      </c>
      <c r="C464" s="575">
        <v>46037</v>
      </c>
      <c r="D464" s="569">
        <v>46041</v>
      </c>
      <c r="E464" s="569">
        <v>46041</v>
      </c>
      <c r="F464" t="s">
        <v>1173</v>
      </c>
      <c r="G464" t="s">
        <v>370</v>
      </c>
      <c r="H464" t="s">
        <v>367</v>
      </c>
      <c r="I464" t="s">
        <v>368</v>
      </c>
      <c r="J464" t="s">
        <v>1594</v>
      </c>
      <c r="K464" t="s">
        <v>1595</v>
      </c>
      <c r="L464" t="s">
        <v>1596</v>
      </c>
      <c r="M464" t="s">
        <v>1909</v>
      </c>
      <c r="N464" t="s">
        <v>741</v>
      </c>
      <c r="O464" t="s">
        <v>1910</v>
      </c>
      <c r="P464" t="s">
        <v>1908</v>
      </c>
      <c r="Q464" t="s">
        <v>370</v>
      </c>
    </row>
    <row r="465" spans="1:17" ht="14.25" customHeight="1" x14ac:dyDescent="0.2">
      <c r="A465" s="580" t="s">
        <v>1836</v>
      </c>
      <c r="B465" s="110">
        <f t="shared" si="8"/>
        <v>4.6000000000000005</v>
      </c>
      <c r="C465" s="575">
        <v>46037</v>
      </c>
      <c r="D465" s="569">
        <v>46041</v>
      </c>
      <c r="E465" s="569">
        <v>46041</v>
      </c>
      <c r="F465" t="s">
        <v>1911</v>
      </c>
      <c r="G465" t="s">
        <v>370</v>
      </c>
      <c r="H465" t="s">
        <v>367</v>
      </c>
      <c r="I465" t="s">
        <v>368</v>
      </c>
      <c r="J465" t="s">
        <v>1594</v>
      </c>
      <c r="K465" t="s">
        <v>1595</v>
      </c>
      <c r="L465" t="s">
        <v>1596</v>
      </c>
      <c r="M465" t="s">
        <v>1912</v>
      </c>
      <c r="N465" t="s">
        <v>781</v>
      </c>
      <c r="O465" t="s">
        <v>1913</v>
      </c>
      <c r="P465" t="s">
        <v>1908</v>
      </c>
      <c r="Q465" t="s">
        <v>370</v>
      </c>
    </row>
    <row r="466" spans="1:17" ht="14.25" customHeight="1" x14ac:dyDescent="0.2">
      <c r="A466" s="580" t="s">
        <v>1837</v>
      </c>
      <c r="B466" s="110">
        <f t="shared" si="8"/>
        <v>6.5200000000000005</v>
      </c>
      <c r="C466" s="575">
        <v>46037</v>
      </c>
      <c r="D466" s="569">
        <v>46041</v>
      </c>
      <c r="E466" s="569">
        <v>46041</v>
      </c>
      <c r="F466" t="s">
        <v>1914</v>
      </c>
      <c r="G466" t="s">
        <v>370</v>
      </c>
      <c r="H466" t="s">
        <v>367</v>
      </c>
      <c r="I466" t="s">
        <v>368</v>
      </c>
      <c r="J466" t="s">
        <v>696</v>
      </c>
      <c r="K466" t="s">
        <v>744</v>
      </c>
      <c r="L466" t="s">
        <v>745</v>
      </c>
      <c r="M466" t="s">
        <v>1915</v>
      </c>
      <c r="N466" t="s">
        <v>747</v>
      </c>
      <c r="O466" t="s">
        <v>1916</v>
      </c>
      <c r="P466" t="s">
        <v>1908</v>
      </c>
      <c r="Q466" t="s">
        <v>370</v>
      </c>
    </row>
    <row r="467" spans="1:17" ht="14.25" customHeight="1" x14ac:dyDescent="0.2">
      <c r="A467" s="580" t="s">
        <v>1836</v>
      </c>
      <c r="B467" s="110">
        <f t="shared" si="8"/>
        <v>4.6000000000000005</v>
      </c>
      <c r="C467" s="575">
        <v>46037</v>
      </c>
      <c r="D467" s="569">
        <v>46041</v>
      </c>
      <c r="E467" s="569">
        <v>46041</v>
      </c>
      <c r="F467" t="s">
        <v>1917</v>
      </c>
      <c r="G467" t="s">
        <v>1918</v>
      </c>
      <c r="H467" t="s">
        <v>367</v>
      </c>
      <c r="I467" t="s">
        <v>368</v>
      </c>
      <c r="J467" t="s">
        <v>1594</v>
      </c>
      <c r="K467" t="s">
        <v>1595</v>
      </c>
      <c r="L467" t="s">
        <v>1596</v>
      </c>
      <c r="M467" t="s">
        <v>1919</v>
      </c>
      <c r="N467" t="s">
        <v>369</v>
      </c>
      <c r="O467" t="s">
        <v>1920</v>
      </c>
      <c r="P467" t="s">
        <v>1908</v>
      </c>
      <c r="Q467" t="s">
        <v>370</v>
      </c>
    </row>
    <row r="468" spans="1:17" ht="14.25" customHeight="1" x14ac:dyDescent="0.2">
      <c r="A468" s="580" t="s">
        <v>1836</v>
      </c>
      <c r="B468" s="110">
        <f t="shared" si="8"/>
        <v>4.57</v>
      </c>
      <c r="C468" s="575">
        <v>46037</v>
      </c>
      <c r="D468" s="569">
        <v>46041</v>
      </c>
      <c r="E468" s="569">
        <v>46041</v>
      </c>
      <c r="F468" t="s">
        <v>989</v>
      </c>
      <c r="G468" t="s">
        <v>370</v>
      </c>
      <c r="H468" t="s">
        <v>367</v>
      </c>
      <c r="I468" t="s">
        <v>368</v>
      </c>
      <c r="J468" t="s">
        <v>1594</v>
      </c>
      <c r="K468" t="s">
        <v>1413</v>
      </c>
      <c r="L468" t="s">
        <v>1615</v>
      </c>
      <c r="M468" t="s">
        <v>1921</v>
      </c>
      <c r="N468" t="s">
        <v>747</v>
      </c>
      <c r="O468" t="s">
        <v>1922</v>
      </c>
      <c r="P468" t="s">
        <v>1908</v>
      </c>
      <c r="Q468" t="s">
        <v>370</v>
      </c>
    </row>
    <row r="469" spans="1:17" ht="14.25" customHeight="1" x14ac:dyDescent="0.2">
      <c r="A469" s="580" t="s">
        <v>1836</v>
      </c>
      <c r="B469" s="110">
        <f t="shared" si="8"/>
        <v>4.6000000000000005</v>
      </c>
      <c r="C469" s="575">
        <v>46037</v>
      </c>
      <c r="D469" s="569">
        <v>46041</v>
      </c>
      <c r="E469" s="569">
        <v>46041</v>
      </c>
      <c r="F469" t="s">
        <v>880</v>
      </c>
      <c r="G469" t="s">
        <v>370</v>
      </c>
      <c r="H469" t="s">
        <v>367</v>
      </c>
      <c r="I469" t="s">
        <v>368</v>
      </c>
      <c r="J469" t="s">
        <v>1594</v>
      </c>
      <c r="K469" t="s">
        <v>1595</v>
      </c>
      <c r="L469" t="s">
        <v>1596</v>
      </c>
      <c r="M469" t="s">
        <v>1923</v>
      </c>
      <c r="N469" t="s">
        <v>741</v>
      </c>
      <c r="O469" t="s">
        <v>1924</v>
      </c>
      <c r="P469" t="s">
        <v>1908</v>
      </c>
      <c r="Q469" t="s">
        <v>370</v>
      </c>
    </row>
    <row r="470" spans="1:17" ht="14.25" customHeight="1" x14ac:dyDescent="0.2">
      <c r="A470" s="580" t="s">
        <v>1836</v>
      </c>
      <c r="B470" s="110">
        <f t="shared" ref="B470:B533" si="9">_xlfn.NUMBERVALUE(L470)*0.01</f>
        <v>4.57</v>
      </c>
      <c r="C470" s="575">
        <v>46037</v>
      </c>
      <c r="D470" s="569">
        <v>46041</v>
      </c>
      <c r="E470" s="569">
        <v>46041</v>
      </c>
      <c r="F470" t="s">
        <v>1708</v>
      </c>
      <c r="G470" t="s">
        <v>370</v>
      </c>
      <c r="H470" t="s">
        <v>367</v>
      </c>
      <c r="I470" t="s">
        <v>368</v>
      </c>
      <c r="J470" t="s">
        <v>1594</v>
      </c>
      <c r="K470" t="s">
        <v>1413</v>
      </c>
      <c r="L470" t="s">
        <v>1615</v>
      </c>
      <c r="M470" t="s">
        <v>1925</v>
      </c>
      <c r="N470" t="s">
        <v>747</v>
      </c>
      <c r="O470" t="s">
        <v>1926</v>
      </c>
      <c r="P470" t="s">
        <v>1908</v>
      </c>
      <c r="Q470" t="s">
        <v>370</v>
      </c>
    </row>
    <row r="471" spans="1:17" ht="14.25" customHeight="1" x14ac:dyDescent="0.2">
      <c r="A471" s="580" t="s">
        <v>1836</v>
      </c>
      <c r="B471" s="110">
        <f t="shared" si="9"/>
        <v>4.6000000000000005</v>
      </c>
      <c r="C471" s="575">
        <v>46037</v>
      </c>
      <c r="D471" s="569">
        <v>46041</v>
      </c>
      <c r="E471" s="569">
        <v>46041</v>
      </c>
      <c r="F471" t="s">
        <v>1703</v>
      </c>
      <c r="G471" t="s">
        <v>370</v>
      </c>
      <c r="H471" t="s">
        <v>367</v>
      </c>
      <c r="I471" t="s">
        <v>368</v>
      </c>
      <c r="J471" t="s">
        <v>1594</v>
      </c>
      <c r="K471" t="s">
        <v>1595</v>
      </c>
      <c r="L471" t="s">
        <v>1596</v>
      </c>
      <c r="M471" t="s">
        <v>1927</v>
      </c>
      <c r="N471" t="s">
        <v>741</v>
      </c>
      <c r="O471" t="s">
        <v>1928</v>
      </c>
      <c r="P471" t="s">
        <v>1908</v>
      </c>
      <c r="Q471" t="s">
        <v>370</v>
      </c>
    </row>
    <row r="472" spans="1:17" ht="14.25" customHeight="1" x14ac:dyDescent="0.2">
      <c r="A472" s="580" t="s">
        <v>1836</v>
      </c>
      <c r="B472" s="110">
        <f t="shared" si="9"/>
        <v>4.57</v>
      </c>
      <c r="C472" s="575">
        <v>46037</v>
      </c>
      <c r="D472" s="569">
        <v>46041</v>
      </c>
      <c r="E472" s="569">
        <v>46041</v>
      </c>
      <c r="F472" t="s">
        <v>1034</v>
      </c>
      <c r="G472" t="s">
        <v>370</v>
      </c>
      <c r="H472" t="s">
        <v>367</v>
      </c>
      <c r="I472" t="s">
        <v>368</v>
      </c>
      <c r="J472" t="s">
        <v>1594</v>
      </c>
      <c r="K472" t="s">
        <v>1413</v>
      </c>
      <c r="L472" t="s">
        <v>1615</v>
      </c>
      <c r="M472" t="s">
        <v>1929</v>
      </c>
      <c r="N472" t="s">
        <v>747</v>
      </c>
      <c r="O472" t="s">
        <v>1930</v>
      </c>
      <c r="P472" t="s">
        <v>1908</v>
      </c>
      <c r="Q472" t="s">
        <v>370</v>
      </c>
    </row>
    <row r="473" spans="1:17" ht="14.25" customHeight="1" x14ac:dyDescent="0.2">
      <c r="A473" s="580" t="s">
        <v>1836</v>
      </c>
      <c r="B473" s="110">
        <f t="shared" si="9"/>
        <v>4.57</v>
      </c>
      <c r="C473" s="575">
        <v>46038</v>
      </c>
      <c r="D473" s="569">
        <v>46042</v>
      </c>
      <c r="E473" s="569">
        <v>46042</v>
      </c>
      <c r="F473" t="s">
        <v>817</v>
      </c>
      <c r="G473" t="s">
        <v>370</v>
      </c>
      <c r="H473" t="s">
        <v>367</v>
      </c>
      <c r="I473" t="s">
        <v>368</v>
      </c>
      <c r="J473" t="s">
        <v>1594</v>
      </c>
      <c r="K473" t="s">
        <v>1413</v>
      </c>
      <c r="L473" t="s">
        <v>1615</v>
      </c>
      <c r="M473" t="s">
        <v>1931</v>
      </c>
      <c r="N473" t="s">
        <v>747</v>
      </c>
      <c r="O473" t="s">
        <v>1932</v>
      </c>
      <c r="P473" t="s">
        <v>1933</v>
      </c>
      <c r="Q473" t="s">
        <v>370</v>
      </c>
    </row>
    <row r="474" spans="1:17" ht="14.25" customHeight="1" x14ac:dyDescent="0.2">
      <c r="A474" s="580" t="s">
        <v>1836</v>
      </c>
      <c r="B474" s="110">
        <f t="shared" si="9"/>
        <v>4.6000000000000005</v>
      </c>
      <c r="C474" s="575">
        <v>46038</v>
      </c>
      <c r="D474" s="569">
        <v>46042</v>
      </c>
      <c r="E474" s="569">
        <v>46042</v>
      </c>
      <c r="F474" t="s">
        <v>946</v>
      </c>
      <c r="G474" t="s">
        <v>370</v>
      </c>
      <c r="H474" t="s">
        <v>367</v>
      </c>
      <c r="I474" t="s">
        <v>368</v>
      </c>
      <c r="J474" t="s">
        <v>1594</v>
      </c>
      <c r="K474" t="s">
        <v>1595</v>
      </c>
      <c r="L474" t="s">
        <v>1596</v>
      </c>
      <c r="M474" t="s">
        <v>1934</v>
      </c>
      <c r="N474" t="s">
        <v>741</v>
      </c>
      <c r="O474" t="s">
        <v>1935</v>
      </c>
      <c r="P474" t="s">
        <v>1933</v>
      </c>
      <c r="Q474" t="s">
        <v>370</v>
      </c>
    </row>
    <row r="475" spans="1:17" ht="14.25" customHeight="1" x14ac:dyDescent="0.2">
      <c r="A475" s="580" t="s">
        <v>1836</v>
      </c>
      <c r="B475" s="110">
        <f t="shared" si="9"/>
        <v>4.6000000000000005</v>
      </c>
      <c r="C475" s="575">
        <v>46038</v>
      </c>
      <c r="D475" s="569">
        <v>46042</v>
      </c>
      <c r="E475" s="569">
        <v>46042</v>
      </c>
      <c r="F475" t="s">
        <v>1444</v>
      </c>
      <c r="G475" t="s">
        <v>370</v>
      </c>
      <c r="H475" t="s">
        <v>367</v>
      </c>
      <c r="I475" t="s">
        <v>368</v>
      </c>
      <c r="J475" t="s">
        <v>1594</v>
      </c>
      <c r="K475" t="s">
        <v>1595</v>
      </c>
      <c r="L475" t="s">
        <v>1596</v>
      </c>
      <c r="M475" t="s">
        <v>1936</v>
      </c>
      <c r="N475" t="s">
        <v>741</v>
      </c>
      <c r="O475" t="s">
        <v>1937</v>
      </c>
      <c r="P475" t="s">
        <v>1933</v>
      </c>
      <c r="Q475" t="s">
        <v>370</v>
      </c>
    </row>
    <row r="476" spans="1:17" ht="14.25" customHeight="1" x14ac:dyDescent="0.2">
      <c r="A476" s="580" t="s">
        <v>1836</v>
      </c>
      <c r="B476" s="110">
        <f t="shared" si="9"/>
        <v>4.6000000000000005</v>
      </c>
      <c r="C476" s="575">
        <v>46038</v>
      </c>
      <c r="D476" s="569">
        <v>46042</v>
      </c>
      <c r="E476" s="569">
        <v>46042</v>
      </c>
      <c r="F476" t="s">
        <v>1447</v>
      </c>
      <c r="G476" t="s">
        <v>370</v>
      </c>
      <c r="H476" t="s">
        <v>367</v>
      </c>
      <c r="I476" t="s">
        <v>368</v>
      </c>
      <c r="J476" t="s">
        <v>1594</v>
      </c>
      <c r="K476" t="s">
        <v>1595</v>
      </c>
      <c r="L476" t="s">
        <v>1596</v>
      </c>
      <c r="M476" t="s">
        <v>1938</v>
      </c>
      <c r="N476" t="s">
        <v>741</v>
      </c>
      <c r="O476" t="s">
        <v>1939</v>
      </c>
      <c r="P476" t="s">
        <v>1933</v>
      </c>
      <c r="Q476" t="s">
        <v>370</v>
      </c>
    </row>
    <row r="477" spans="1:17" ht="14.25" customHeight="1" x14ac:dyDescent="0.2">
      <c r="A477" s="580" t="s">
        <v>1836</v>
      </c>
      <c r="B477" s="110">
        <f t="shared" si="9"/>
        <v>4.6000000000000005</v>
      </c>
      <c r="C477" s="575">
        <v>46038</v>
      </c>
      <c r="D477" s="569">
        <v>46042</v>
      </c>
      <c r="E477" s="569">
        <v>46042</v>
      </c>
      <c r="F477" t="s">
        <v>1940</v>
      </c>
      <c r="G477" t="s">
        <v>370</v>
      </c>
      <c r="H477" t="s">
        <v>367</v>
      </c>
      <c r="I477" t="s">
        <v>368</v>
      </c>
      <c r="J477" t="s">
        <v>1594</v>
      </c>
      <c r="K477" t="s">
        <v>1595</v>
      </c>
      <c r="L477" t="s">
        <v>1596</v>
      </c>
      <c r="M477" t="s">
        <v>1941</v>
      </c>
      <c r="N477" t="s">
        <v>741</v>
      </c>
      <c r="O477" t="s">
        <v>1942</v>
      </c>
      <c r="P477" t="s">
        <v>1933</v>
      </c>
      <c r="Q477" t="s">
        <v>370</v>
      </c>
    </row>
    <row r="478" spans="1:17" ht="14.25" customHeight="1" x14ac:dyDescent="0.2">
      <c r="A478" s="580" t="s">
        <v>1836</v>
      </c>
      <c r="B478" s="110">
        <f t="shared" si="9"/>
        <v>4.6000000000000005</v>
      </c>
      <c r="C478" s="575">
        <v>46038</v>
      </c>
      <c r="D478" s="569">
        <v>46042</v>
      </c>
      <c r="E478" s="569">
        <v>46042</v>
      </c>
      <c r="F478" t="s">
        <v>1943</v>
      </c>
      <c r="G478" t="s">
        <v>370</v>
      </c>
      <c r="H478" t="s">
        <v>367</v>
      </c>
      <c r="I478" t="s">
        <v>368</v>
      </c>
      <c r="J478" t="s">
        <v>1594</v>
      </c>
      <c r="K478" t="s">
        <v>1595</v>
      </c>
      <c r="L478" t="s">
        <v>1596</v>
      </c>
      <c r="M478" t="s">
        <v>1944</v>
      </c>
      <c r="N478" t="s">
        <v>741</v>
      </c>
      <c r="O478" t="s">
        <v>1945</v>
      </c>
      <c r="P478" t="s">
        <v>1933</v>
      </c>
      <c r="Q478" t="s">
        <v>370</v>
      </c>
    </row>
    <row r="479" spans="1:17" ht="14.25" customHeight="1" x14ac:dyDescent="0.2">
      <c r="A479" s="580" t="s">
        <v>1836</v>
      </c>
      <c r="B479" s="110">
        <f t="shared" si="9"/>
        <v>4.6000000000000005</v>
      </c>
      <c r="C479" s="575">
        <v>46038</v>
      </c>
      <c r="D479" s="569">
        <v>46042</v>
      </c>
      <c r="E479" s="569">
        <v>46042</v>
      </c>
      <c r="F479" t="s">
        <v>1062</v>
      </c>
      <c r="G479" t="s">
        <v>370</v>
      </c>
      <c r="H479" t="s">
        <v>367</v>
      </c>
      <c r="I479" t="s">
        <v>368</v>
      </c>
      <c r="J479" t="s">
        <v>1594</v>
      </c>
      <c r="K479" t="s">
        <v>1595</v>
      </c>
      <c r="L479" t="s">
        <v>1596</v>
      </c>
      <c r="M479" t="s">
        <v>1946</v>
      </c>
      <c r="N479" t="s">
        <v>741</v>
      </c>
      <c r="O479" t="s">
        <v>1947</v>
      </c>
      <c r="P479" t="s">
        <v>1933</v>
      </c>
      <c r="Q479" t="s">
        <v>370</v>
      </c>
    </row>
    <row r="480" spans="1:17" ht="14.25" customHeight="1" x14ac:dyDescent="0.2">
      <c r="A480" s="580" t="s">
        <v>1836</v>
      </c>
      <c r="B480" s="110">
        <f t="shared" si="9"/>
        <v>4.57</v>
      </c>
      <c r="C480" s="575">
        <v>46038</v>
      </c>
      <c r="D480" s="569">
        <v>46042</v>
      </c>
      <c r="E480" s="569">
        <v>46042</v>
      </c>
      <c r="F480" t="s">
        <v>1608</v>
      </c>
      <c r="G480" t="s">
        <v>370</v>
      </c>
      <c r="H480" t="s">
        <v>367</v>
      </c>
      <c r="I480" t="s">
        <v>368</v>
      </c>
      <c r="J480" t="s">
        <v>1594</v>
      </c>
      <c r="K480" t="s">
        <v>1413</v>
      </c>
      <c r="L480" t="s">
        <v>1615</v>
      </c>
      <c r="M480" t="s">
        <v>1948</v>
      </c>
      <c r="N480" t="s">
        <v>747</v>
      </c>
      <c r="O480" t="s">
        <v>1949</v>
      </c>
      <c r="P480" t="s">
        <v>1933</v>
      </c>
      <c r="Q480" t="s">
        <v>370</v>
      </c>
    </row>
    <row r="481" spans="1:17" ht="14.25" customHeight="1" x14ac:dyDescent="0.2">
      <c r="A481" s="580" t="s">
        <v>1836</v>
      </c>
      <c r="B481" s="110">
        <f t="shared" si="9"/>
        <v>4.6000000000000005</v>
      </c>
      <c r="C481" s="575">
        <v>46039</v>
      </c>
      <c r="D481" s="569">
        <v>46042</v>
      </c>
      <c r="E481" s="569">
        <v>46042</v>
      </c>
      <c r="F481" t="s">
        <v>1633</v>
      </c>
      <c r="G481" t="s">
        <v>370</v>
      </c>
      <c r="H481" t="s">
        <v>367</v>
      </c>
      <c r="I481" t="s">
        <v>368</v>
      </c>
      <c r="J481" t="s">
        <v>1594</v>
      </c>
      <c r="K481" t="s">
        <v>1595</v>
      </c>
      <c r="L481" t="s">
        <v>1596</v>
      </c>
      <c r="M481" t="s">
        <v>1950</v>
      </c>
      <c r="N481" t="s">
        <v>741</v>
      </c>
      <c r="O481" t="s">
        <v>1951</v>
      </c>
      <c r="P481" t="s">
        <v>1933</v>
      </c>
      <c r="Q481" t="s">
        <v>370</v>
      </c>
    </row>
    <row r="482" spans="1:17" ht="14.25" customHeight="1" x14ac:dyDescent="0.2">
      <c r="A482" s="580" t="s">
        <v>1836</v>
      </c>
      <c r="B482" s="110">
        <f t="shared" si="9"/>
        <v>4.6000000000000005</v>
      </c>
      <c r="C482" s="575">
        <v>46039</v>
      </c>
      <c r="D482" s="569">
        <v>46042</v>
      </c>
      <c r="E482" s="569">
        <v>46042</v>
      </c>
      <c r="F482" t="s">
        <v>1750</v>
      </c>
      <c r="G482" t="s">
        <v>370</v>
      </c>
      <c r="H482" t="s">
        <v>367</v>
      </c>
      <c r="I482" t="s">
        <v>368</v>
      </c>
      <c r="J482" t="s">
        <v>1594</v>
      </c>
      <c r="K482" t="s">
        <v>1595</v>
      </c>
      <c r="L482" t="s">
        <v>1596</v>
      </c>
      <c r="M482" t="s">
        <v>1952</v>
      </c>
      <c r="N482" t="s">
        <v>741</v>
      </c>
      <c r="O482" t="s">
        <v>1953</v>
      </c>
      <c r="P482" t="s">
        <v>1933</v>
      </c>
      <c r="Q482" t="s">
        <v>370</v>
      </c>
    </row>
    <row r="483" spans="1:17" ht="14.25" customHeight="1" x14ac:dyDescent="0.2">
      <c r="A483" s="580" t="s">
        <v>1836</v>
      </c>
      <c r="B483" s="110">
        <f t="shared" si="9"/>
        <v>4.6000000000000005</v>
      </c>
      <c r="C483" s="575">
        <v>46039</v>
      </c>
      <c r="D483" s="569">
        <v>46042</v>
      </c>
      <c r="E483" s="569">
        <v>46042</v>
      </c>
      <c r="F483" t="s">
        <v>952</v>
      </c>
      <c r="G483" t="s">
        <v>952</v>
      </c>
      <c r="H483" t="s">
        <v>367</v>
      </c>
      <c r="I483" t="s">
        <v>368</v>
      </c>
      <c r="J483" t="s">
        <v>1594</v>
      </c>
      <c r="K483" t="s">
        <v>1595</v>
      </c>
      <c r="L483" t="s">
        <v>1596</v>
      </c>
      <c r="M483" t="s">
        <v>1954</v>
      </c>
      <c r="N483" t="s">
        <v>369</v>
      </c>
      <c r="O483" t="s">
        <v>1955</v>
      </c>
      <c r="P483" t="s">
        <v>1933</v>
      </c>
      <c r="Q483" t="s">
        <v>370</v>
      </c>
    </row>
    <row r="484" spans="1:17" ht="14.25" customHeight="1" x14ac:dyDescent="0.2">
      <c r="A484" s="580" t="s">
        <v>1836</v>
      </c>
      <c r="B484" s="110">
        <f t="shared" si="9"/>
        <v>4.6000000000000005</v>
      </c>
      <c r="C484" s="575">
        <v>46039</v>
      </c>
      <c r="D484" s="569">
        <v>46042</v>
      </c>
      <c r="E484" s="569">
        <v>46042</v>
      </c>
      <c r="F484" t="s">
        <v>1604</v>
      </c>
      <c r="G484" t="s">
        <v>1605</v>
      </c>
      <c r="H484" t="s">
        <v>367</v>
      </c>
      <c r="I484" t="s">
        <v>368</v>
      </c>
      <c r="J484" t="s">
        <v>1594</v>
      </c>
      <c r="K484" t="s">
        <v>1595</v>
      </c>
      <c r="L484" t="s">
        <v>1596</v>
      </c>
      <c r="M484" t="s">
        <v>1956</v>
      </c>
      <c r="N484" t="s">
        <v>369</v>
      </c>
      <c r="O484" t="s">
        <v>1957</v>
      </c>
      <c r="P484" t="s">
        <v>1933</v>
      </c>
      <c r="Q484" t="s">
        <v>370</v>
      </c>
    </row>
    <row r="485" spans="1:17" ht="14.25" customHeight="1" x14ac:dyDescent="0.2">
      <c r="A485" s="580" t="s">
        <v>1837</v>
      </c>
      <c r="B485" s="110">
        <f t="shared" si="9"/>
        <v>6.57</v>
      </c>
      <c r="C485" s="575">
        <v>46039</v>
      </c>
      <c r="D485" s="569">
        <v>46042</v>
      </c>
      <c r="E485" s="569">
        <v>46042</v>
      </c>
      <c r="F485" t="s">
        <v>1289</v>
      </c>
      <c r="G485" t="s">
        <v>370</v>
      </c>
      <c r="H485" t="s">
        <v>367</v>
      </c>
      <c r="I485" t="s">
        <v>368</v>
      </c>
      <c r="J485" t="s">
        <v>696</v>
      </c>
      <c r="K485" t="s">
        <v>697</v>
      </c>
      <c r="L485" t="s">
        <v>698</v>
      </c>
      <c r="M485" t="s">
        <v>1958</v>
      </c>
      <c r="N485" t="s">
        <v>741</v>
      </c>
      <c r="O485" t="s">
        <v>1959</v>
      </c>
      <c r="P485" t="s">
        <v>1933</v>
      </c>
      <c r="Q485" t="s">
        <v>370</v>
      </c>
    </row>
    <row r="486" spans="1:17" ht="14.25" customHeight="1" x14ac:dyDescent="0.2">
      <c r="A486" s="580" t="s">
        <v>1836</v>
      </c>
      <c r="B486" s="110">
        <f t="shared" si="9"/>
        <v>4.6000000000000005</v>
      </c>
      <c r="C486" s="575">
        <v>46039</v>
      </c>
      <c r="D486" s="569">
        <v>46042</v>
      </c>
      <c r="E486" s="569">
        <v>46042</v>
      </c>
      <c r="F486" t="s">
        <v>1642</v>
      </c>
      <c r="G486" t="s">
        <v>370</v>
      </c>
      <c r="H486" t="s">
        <v>367</v>
      </c>
      <c r="I486" t="s">
        <v>368</v>
      </c>
      <c r="J486" t="s">
        <v>1594</v>
      </c>
      <c r="K486" t="s">
        <v>1595</v>
      </c>
      <c r="L486" t="s">
        <v>1596</v>
      </c>
      <c r="M486" t="s">
        <v>1960</v>
      </c>
      <c r="N486" t="s">
        <v>741</v>
      </c>
      <c r="O486" t="s">
        <v>1961</v>
      </c>
      <c r="P486" t="s">
        <v>1933</v>
      </c>
      <c r="Q486" t="s">
        <v>370</v>
      </c>
    </row>
    <row r="487" spans="1:17" ht="14.25" customHeight="1" x14ac:dyDescent="0.2">
      <c r="A487" s="580" t="s">
        <v>1837</v>
      </c>
      <c r="B487" s="110">
        <f t="shared" si="9"/>
        <v>6.57</v>
      </c>
      <c r="C487" s="575">
        <v>46039</v>
      </c>
      <c r="D487" s="569">
        <v>46042</v>
      </c>
      <c r="E487" s="569">
        <v>46042</v>
      </c>
      <c r="F487" t="s">
        <v>1962</v>
      </c>
      <c r="G487" t="s">
        <v>1962</v>
      </c>
      <c r="H487" t="s">
        <v>367</v>
      </c>
      <c r="I487" t="s">
        <v>368</v>
      </c>
      <c r="J487" t="s">
        <v>696</v>
      </c>
      <c r="K487" t="s">
        <v>697</v>
      </c>
      <c r="L487" t="s">
        <v>698</v>
      </c>
      <c r="M487" t="s">
        <v>1963</v>
      </c>
      <c r="N487" t="s">
        <v>369</v>
      </c>
      <c r="O487" t="s">
        <v>1964</v>
      </c>
      <c r="P487" t="s">
        <v>1933</v>
      </c>
      <c r="Q487" t="s">
        <v>370</v>
      </c>
    </row>
    <row r="488" spans="1:17" ht="14.25" customHeight="1" x14ac:dyDescent="0.2">
      <c r="A488" s="580" t="s">
        <v>1837</v>
      </c>
      <c r="B488" s="110">
        <f t="shared" si="9"/>
        <v>6.5</v>
      </c>
      <c r="C488" s="575">
        <v>46039</v>
      </c>
      <c r="D488" s="569">
        <v>46042</v>
      </c>
      <c r="E488" s="569">
        <v>46042</v>
      </c>
      <c r="F488" t="s">
        <v>1965</v>
      </c>
      <c r="G488" t="s">
        <v>1966</v>
      </c>
      <c r="H488" t="s">
        <v>367</v>
      </c>
      <c r="I488" t="s">
        <v>368</v>
      </c>
      <c r="J488" t="s">
        <v>696</v>
      </c>
      <c r="K488" t="s">
        <v>1967</v>
      </c>
      <c r="L488" t="s">
        <v>1968</v>
      </c>
      <c r="M488" t="s">
        <v>1969</v>
      </c>
      <c r="N488" t="s">
        <v>369</v>
      </c>
      <c r="O488" t="s">
        <v>1970</v>
      </c>
      <c r="P488" t="s">
        <v>1933</v>
      </c>
      <c r="Q488" t="s">
        <v>370</v>
      </c>
    </row>
    <row r="489" spans="1:17" ht="14.25" customHeight="1" x14ac:dyDescent="0.2">
      <c r="A489" s="580" t="s">
        <v>1837</v>
      </c>
      <c r="B489" s="110">
        <f t="shared" si="9"/>
        <v>6.5200000000000005</v>
      </c>
      <c r="C489" s="575">
        <v>46039</v>
      </c>
      <c r="D489" s="569">
        <v>46042</v>
      </c>
      <c r="E489" s="569">
        <v>46042</v>
      </c>
      <c r="F489" t="s">
        <v>1971</v>
      </c>
      <c r="G489" t="s">
        <v>370</v>
      </c>
      <c r="H489" t="s">
        <v>367</v>
      </c>
      <c r="I489" t="s">
        <v>368</v>
      </c>
      <c r="J489" t="s">
        <v>696</v>
      </c>
      <c r="K489" t="s">
        <v>744</v>
      </c>
      <c r="L489" t="s">
        <v>745</v>
      </c>
      <c r="M489" t="s">
        <v>1972</v>
      </c>
      <c r="N489" t="s">
        <v>747</v>
      </c>
      <c r="O489" t="s">
        <v>1973</v>
      </c>
      <c r="P489" t="s">
        <v>1933</v>
      </c>
      <c r="Q489" t="s">
        <v>370</v>
      </c>
    </row>
    <row r="490" spans="1:17" ht="14.25" customHeight="1" x14ac:dyDescent="0.2">
      <c r="A490" s="580" t="s">
        <v>1837</v>
      </c>
      <c r="B490" s="110">
        <f t="shared" si="9"/>
        <v>6.5200000000000005</v>
      </c>
      <c r="C490" s="575">
        <v>46039</v>
      </c>
      <c r="D490" s="569">
        <v>46042</v>
      </c>
      <c r="E490" s="569">
        <v>46042</v>
      </c>
      <c r="F490" t="s">
        <v>1544</v>
      </c>
      <c r="G490" t="s">
        <v>370</v>
      </c>
      <c r="H490" t="s">
        <v>367</v>
      </c>
      <c r="I490" t="s">
        <v>368</v>
      </c>
      <c r="J490" t="s">
        <v>696</v>
      </c>
      <c r="K490" t="s">
        <v>744</v>
      </c>
      <c r="L490" t="s">
        <v>745</v>
      </c>
      <c r="M490" t="s">
        <v>1974</v>
      </c>
      <c r="N490" t="s">
        <v>747</v>
      </c>
      <c r="O490" t="s">
        <v>1975</v>
      </c>
      <c r="P490" t="s">
        <v>1933</v>
      </c>
      <c r="Q490" t="s">
        <v>370</v>
      </c>
    </row>
    <row r="491" spans="1:17" ht="14.25" customHeight="1" x14ac:dyDescent="0.2">
      <c r="A491" s="580" t="s">
        <v>1836</v>
      </c>
      <c r="B491" s="110">
        <f t="shared" si="9"/>
        <v>4.57</v>
      </c>
      <c r="C491" s="575">
        <v>46039</v>
      </c>
      <c r="D491" s="569">
        <v>46042</v>
      </c>
      <c r="E491" s="569">
        <v>46042</v>
      </c>
      <c r="F491" t="s">
        <v>1976</v>
      </c>
      <c r="G491" t="s">
        <v>370</v>
      </c>
      <c r="H491" t="s">
        <v>367</v>
      </c>
      <c r="I491" t="s">
        <v>368</v>
      </c>
      <c r="J491" t="s">
        <v>1594</v>
      </c>
      <c r="K491" t="s">
        <v>1413</v>
      </c>
      <c r="L491" t="s">
        <v>1615</v>
      </c>
      <c r="M491" t="s">
        <v>1977</v>
      </c>
      <c r="N491" t="s">
        <v>747</v>
      </c>
      <c r="O491" t="s">
        <v>1978</v>
      </c>
      <c r="P491" t="s">
        <v>1933</v>
      </c>
      <c r="Q491" t="s">
        <v>370</v>
      </c>
    </row>
    <row r="492" spans="1:17" ht="14.25" customHeight="1" x14ac:dyDescent="0.2">
      <c r="A492" s="580" t="s">
        <v>1837</v>
      </c>
      <c r="B492" s="110">
        <f t="shared" si="9"/>
        <v>6.57</v>
      </c>
      <c r="C492" s="575">
        <v>46039</v>
      </c>
      <c r="D492" s="569">
        <v>46042</v>
      </c>
      <c r="E492" s="569">
        <v>46042</v>
      </c>
      <c r="F492" t="s">
        <v>1979</v>
      </c>
      <c r="G492" t="s">
        <v>370</v>
      </c>
      <c r="H492" t="s">
        <v>367</v>
      </c>
      <c r="I492" t="s">
        <v>368</v>
      </c>
      <c r="J492" t="s">
        <v>696</v>
      </c>
      <c r="K492" t="s">
        <v>697</v>
      </c>
      <c r="L492" t="s">
        <v>698</v>
      </c>
      <c r="M492" t="s">
        <v>1980</v>
      </c>
      <c r="N492" t="s">
        <v>781</v>
      </c>
      <c r="O492" t="s">
        <v>1981</v>
      </c>
      <c r="P492" t="s">
        <v>1933</v>
      </c>
      <c r="Q492" t="s">
        <v>370</v>
      </c>
    </row>
    <row r="493" spans="1:17" ht="14.25" customHeight="1" x14ac:dyDescent="0.2">
      <c r="A493" s="580" t="s">
        <v>1837</v>
      </c>
      <c r="B493" s="110">
        <f t="shared" si="9"/>
        <v>6.5</v>
      </c>
      <c r="C493" s="575">
        <v>46039</v>
      </c>
      <c r="D493" s="569">
        <v>46042</v>
      </c>
      <c r="E493" s="569">
        <v>46042</v>
      </c>
      <c r="F493" t="s">
        <v>1982</v>
      </c>
      <c r="G493" t="s">
        <v>1982</v>
      </c>
      <c r="H493" t="s">
        <v>367</v>
      </c>
      <c r="I493" t="s">
        <v>368</v>
      </c>
      <c r="J493" t="s">
        <v>696</v>
      </c>
      <c r="K493" t="s">
        <v>1967</v>
      </c>
      <c r="L493" t="s">
        <v>1968</v>
      </c>
      <c r="M493" t="s">
        <v>1983</v>
      </c>
      <c r="N493" t="s">
        <v>369</v>
      </c>
      <c r="O493" t="s">
        <v>1984</v>
      </c>
      <c r="P493" t="s">
        <v>1933</v>
      </c>
      <c r="Q493" t="s">
        <v>370</v>
      </c>
    </row>
    <row r="494" spans="1:17" ht="14.25" customHeight="1" x14ac:dyDescent="0.2">
      <c r="A494" s="580" t="s">
        <v>1837</v>
      </c>
      <c r="B494" s="110">
        <f t="shared" si="9"/>
        <v>6.57</v>
      </c>
      <c r="C494" s="575">
        <v>46039</v>
      </c>
      <c r="D494" s="569">
        <v>46042</v>
      </c>
      <c r="E494" s="569">
        <v>46042</v>
      </c>
      <c r="F494" t="s">
        <v>1985</v>
      </c>
      <c r="G494" t="s">
        <v>1986</v>
      </c>
      <c r="H494" t="s">
        <v>367</v>
      </c>
      <c r="I494" t="s">
        <v>368</v>
      </c>
      <c r="J494" t="s">
        <v>696</v>
      </c>
      <c r="K494" t="s">
        <v>697</v>
      </c>
      <c r="L494" t="s">
        <v>698</v>
      </c>
      <c r="M494" t="s">
        <v>1987</v>
      </c>
      <c r="N494" t="s">
        <v>369</v>
      </c>
      <c r="O494" t="s">
        <v>1988</v>
      </c>
      <c r="P494" t="s">
        <v>1933</v>
      </c>
      <c r="Q494" t="s">
        <v>370</v>
      </c>
    </row>
    <row r="495" spans="1:17" ht="14.25" customHeight="1" x14ac:dyDescent="0.2">
      <c r="A495" s="580" t="s">
        <v>1837</v>
      </c>
      <c r="B495" s="110">
        <f t="shared" si="9"/>
        <v>6.5200000000000005</v>
      </c>
      <c r="C495" s="575">
        <v>46039</v>
      </c>
      <c r="D495" s="569">
        <v>46042</v>
      </c>
      <c r="E495" s="569">
        <v>46042</v>
      </c>
      <c r="F495" t="s">
        <v>1989</v>
      </c>
      <c r="G495" t="s">
        <v>370</v>
      </c>
      <c r="H495" t="s">
        <v>367</v>
      </c>
      <c r="I495" t="s">
        <v>368</v>
      </c>
      <c r="J495" t="s">
        <v>696</v>
      </c>
      <c r="K495" t="s">
        <v>744</v>
      </c>
      <c r="L495" t="s">
        <v>745</v>
      </c>
      <c r="M495" s="574" t="s">
        <v>1990</v>
      </c>
      <c r="N495" t="s">
        <v>747</v>
      </c>
      <c r="O495" t="s">
        <v>1991</v>
      </c>
      <c r="P495" t="s">
        <v>1933</v>
      </c>
      <c r="Q495" t="s">
        <v>370</v>
      </c>
    </row>
    <row r="496" spans="1:17" ht="14.25" customHeight="1" x14ac:dyDescent="0.2">
      <c r="A496" s="580" t="s">
        <v>1836</v>
      </c>
      <c r="B496" s="110">
        <f t="shared" si="9"/>
        <v>4.6000000000000005</v>
      </c>
      <c r="C496" s="575">
        <v>46040</v>
      </c>
      <c r="D496" s="569">
        <v>46042</v>
      </c>
      <c r="E496" s="569">
        <v>46042</v>
      </c>
      <c r="F496" t="s">
        <v>1265</v>
      </c>
      <c r="G496" t="s">
        <v>370</v>
      </c>
      <c r="H496" t="s">
        <v>367</v>
      </c>
      <c r="I496" t="s">
        <v>368</v>
      </c>
      <c r="J496" t="s">
        <v>1594</v>
      </c>
      <c r="K496" t="s">
        <v>1595</v>
      </c>
      <c r="L496" t="s">
        <v>1596</v>
      </c>
      <c r="M496" t="s">
        <v>1992</v>
      </c>
      <c r="N496" t="s">
        <v>741</v>
      </c>
      <c r="O496" t="s">
        <v>1993</v>
      </c>
      <c r="P496" t="s">
        <v>1933</v>
      </c>
      <c r="Q496" t="s">
        <v>370</v>
      </c>
    </row>
    <row r="497" spans="1:17" ht="14.25" customHeight="1" x14ac:dyDescent="0.2">
      <c r="A497" s="580" t="s">
        <v>1836</v>
      </c>
      <c r="B497" s="110">
        <f t="shared" si="9"/>
        <v>4.57</v>
      </c>
      <c r="C497" s="575">
        <v>46040</v>
      </c>
      <c r="D497" s="569">
        <v>46042</v>
      </c>
      <c r="E497" s="569">
        <v>46042</v>
      </c>
      <c r="F497" t="s">
        <v>1170</v>
      </c>
      <c r="G497" t="s">
        <v>370</v>
      </c>
      <c r="H497" t="s">
        <v>367</v>
      </c>
      <c r="I497" t="s">
        <v>368</v>
      </c>
      <c r="J497" t="s">
        <v>1594</v>
      </c>
      <c r="K497" t="s">
        <v>1413</v>
      </c>
      <c r="L497" t="s">
        <v>1615</v>
      </c>
      <c r="M497" t="s">
        <v>1994</v>
      </c>
      <c r="N497" t="s">
        <v>747</v>
      </c>
      <c r="O497" t="s">
        <v>1995</v>
      </c>
      <c r="P497" t="s">
        <v>1933</v>
      </c>
      <c r="Q497" t="s">
        <v>370</v>
      </c>
    </row>
    <row r="498" spans="1:17" ht="14.25" customHeight="1" x14ac:dyDescent="0.2">
      <c r="A498" s="580" t="s">
        <v>1836</v>
      </c>
      <c r="B498" s="110">
        <f t="shared" si="9"/>
        <v>4.6000000000000005</v>
      </c>
      <c r="C498" s="575">
        <v>46040</v>
      </c>
      <c r="D498" s="569">
        <v>46042</v>
      </c>
      <c r="E498" s="569">
        <v>46042</v>
      </c>
      <c r="F498" t="s">
        <v>776</v>
      </c>
      <c r="G498" t="s">
        <v>370</v>
      </c>
      <c r="H498" t="s">
        <v>367</v>
      </c>
      <c r="I498" t="s">
        <v>368</v>
      </c>
      <c r="J498" t="s">
        <v>1594</v>
      </c>
      <c r="K498" t="s">
        <v>1595</v>
      </c>
      <c r="L498" t="s">
        <v>1596</v>
      </c>
      <c r="M498" t="s">
        <v>1996</v>
      </c>
      <c r="N498" t="s">
        <v>741</v>
      </c>
      <c r="O498" t="s">
        <v>1997</v>
      </c>
      <c r="P498" t="s">
        <v>1933</v>
      </c>
      <c r="Q498" t="s">
        <v>370</v>
      </c>
    </row>
    <row r="499" spans="1:17" ht="14.25" customHeight="1" x14ac:dyDescent="0.2">
      <c r="A499" s="580" t="s">
        <v>1836</v>
      </c>
      <c r="B499" s="110">
        <f t="shared" si="9"/>
        <v>4.6000000000000005</v>
      </c>
      <c r="C499" s="575">
        <v>46040</v>
      </c>
      <c r="D499" s="569">
        <v>46042</v>
      </c>
      <c r="E499" s="569">
        <v>46042</v>
      </c>
      <c r="F499" t="s">
        <v>1239</v>
      </c>
      <c r="G499" t="s">
        <v>1998</v>
      </c>
      <c r="H499" t="s">
        <v>367</v>
      </c>
      <c r="I499" t="s">
        <v>368</v>
      </c>
      <c r="J499" t="s">
        <v>1594</v>
      </c>
      <c r="K499" t="s">
        <v>1595</v>
      </c>
      <c r="L499" t="s">
        <v>1596</v>
      </c>
      <c r="M499" t="s">
        <v>1999</v>
      </c>
      <c r="N499" t="s">
        <v>369</v>
      </c>
      <c r="O499" t="s">
        <v>2000</v>
      </c>
      <c r="P499" t="s">
        <v>1933</v>
      </c>
      <c r="Q499" t="s">
        <v>370</v>
      </c>
    </row>
    <row r="500" spans="1:17" ht="14.25" customHeight="1" x14ac:dyDescent="0.2">
      <c r="A500" s="580" t="s">
        <v>1836</v>
      </c>
      <c r="B500" s="110">
        <f t="shared" si="9"/>
        <v>4.57</v>
      </c>
      <c r="C500" s="575">
        <v>46040</v>
      </c>
      <c r="D500" s="569">
        <v>46042</v>
      </c>
      <c r="E500" s="569">
        <v>46042</v>
      </c>
      <c r="F500" t="s">
        <v>2001</v>
      </c>
      <c r="G500" t="s">
        <v>370</v>
      </c>
      <c r="H500" t="s">
        <v>367</v>
      </c>
      <c r="I500" t="s">
        <v>368</v>
      </c>
      <c r="J500" t="s">
        <v>1594</v>
      </c>
      <c r="K500" t="s">
        <v>1413</v>
      </c>
      <c r="L500" t="s">
        <v>1615</v>
      </c>
      <c r="M500" t="s">
        <v>2002</v>
      </c>
      <c r="N500" t="s">
        <v>747</v>
      </c>
      <c r="O500" t="s">
        <v>2003</v>
      </c>
      <c r="P500" t="s">
        <v>1933</v>
      </c>
      <c r="Q500" t="s">
        <v>370</v>
      </c>
    </row>
    <row r="501" spans="1:17" ht="14.25" customHeight="1" x14ac:dyDescent="0.2">
      <c r="A501" s="580" t="s">
        <v>1837</v>
      </c>
      <c r="B501" s="110">
        <f t="shared" si="9"/>
        <v>6.5200000000000005</v>
      </c>
      <c r="C501" s="575">
        <v>46040</v>
      </c>
      <c r="D501" s="569">
        <v>46042</v>
      </c>
      <c r="E501" s="569">
        <v>46042</v>
      </c>
      <c r="F501" t="s">
        <v>2004</v>
      </c>
      <c r="G501" t="s">
        <v>370</v>
      </c>
      <c r="H501" t="s">
        <v>367</v>
      </c>
      <c r="I501" t="s">
        <v>368</v>
      </c>
      <c r="J501" t="s">
        <v>696</v>
      </c>
      <c r="K501" t="s">
        <v>744</v>
      </c>
      <c r="L501" t="s">
        <v>745</v>
      </c>
      <c r="M501" t="s">
        <v>2005</v>
      </c>
      <c r="N501" t="s">
        <v>747</v>
      </c>
      <c r="O501" t="s">
        <v>2006</v>
      </c>
      <c r="P501" t="s">
        <v>1933</v>
      </c>
      <c r="Q501" t="s">
        <v>370</v>
      </c>
    </row>
    <row r="502" spans="1:17" ht="14.25" customHeight="1" x14ac:dyDescent="0.2">
      <c r="A502" s="580" t="s">
        <v>1836</v>
      </c>
      <c r="B502" s="110">
        <f t="shared" si="9"/>
        <v>4.57</v>
      </c>
      <c r="C502" s="575">
        <v>46040</v>
      </c>
      <c r="D502" s="569">
        <v>46042</v>
      </c>
      <c r="E502" s="569">
        <v>46042</v>
      </c>
      <c r="F502" t="s">
        <v>1031</v>
      </c>
      <c r="G502" t="s">
        <v>370</v>
      </c>
      <c r="H502" t="s">
        <v>367</v>
      </c>
      <c r="I502" t="s">
        <v>368</v>
      </c>
      <c r="J502" t="s">
        <v>1594</v>
      </c>
      <c r="K502" t="s">
        <v>1413</v>
      </c>
      <c r="L502" t="s">
        <v>1615</v>
      </c>
      <c r="M502" t="s">
        <v>2007</v>
      </c>
      <c r="N502" t="s">
        <v>747</v>
      </c>
      <c r="O502" t="s">
        <v>2008</v>
      </c>
      <c r="P502" t="s">
        <v>1933</v>
      </c>
      <c r="Q502" t="s">
        <v>370</v>
      </c>
    </row>
    <row r="503" spans="1:17" ht="14.25" customHeight="1" x14ac:dyDescent="0.2">
      <c r="A503" s="580" t="s">
        <v>1837</v>
      </c>
      <c r="B503" s="110">
        <f t="shared" si="9"/>
        <v>6.5200000000000005</v>
      </c>
      <c r="C503" s="575">
        <v>46040</v>
      </c>
      <c r="D503" s="569">
        <v>46042</v>
      </c>
      <c r="E503" s="569">
        <v>46042</v>
      </c>
      <c r="F503" t="s">
        <v>2009</v>
      </c>
      <c r="G503" t="s">
        <v>370</v>
      </c>
      <c r="H503" t="s">
        <v>367</v>
      </c>
      <c r="I503" t="s">
        <v>368</v>
      </c>
      <c r="J503" t="s">
        <v>696</v>
      </c>
      <c r="K503" t="s">
        <v>744</v>
      </c>
      <c r="L503" t="s">
        <v>745</v>
      </c>
      <c r="M503" t="s">
        <v>2010</v>
      </c>
      <c r="N503" t="s">
        <v>747</v>
      </c>
      <c r="O503" t="s">
        <v>2011</v>
      </c>
      <c r="P503" t="s">
        <v>1933</v>
      </c>
      <c r="Q503" t="s">
        <v>370</v>
      </c>
    </row>
    <row r="504" spans="1:17" ht="14.25" customHeight="1" x14ac:dyDescent="0.2">
      <c r="A504" s="580" t="s">
        <v>1836</v>
      </c>
      <c r="B504" s="110">
        <f t="shared" si="9"/>
        <v>4.6000000000000005</v>
      </c>
      <c r="C504" s="575">
        <v>46040</v>
      </c>
      <c r="D504" s="569">
        <v>46042</v>
      </c>
      <c r="E504" s="569">
        <v>46042</v>
      </c>
      <c r="F504" t="s">
        <v>890</v>
      </c>
      <c r="G504" t="s">
        <v>370</v>
      </c>
      <c r="H504" t="s">
        <v>367</v>
      </c>
      <c r="I504" t="s">
        <v>368</v>
      </c>
      <c r="J504" t="s">
        <v>1594</v>
      </c>
      <c r="K504" t="s">
        <v>1595</v>
      </c>
      <c r="L504" t="s">
        <v>1596</v>
      </c>
      <c r="M504" t="s">
        <v>2012</v>
      </c>
      <c r="N504" t="s">
        <v>741</v>
      </c>
      <c r="O504" t="s">
        <v>2013</v>
      </c>
      <c r="P504" t="s">
        <v>1933</v>
      </c>
      <c r="Q504" t="s">
        <v>370</v>
      </c>
    </row>
    <row r="505" spans="1:17" ht="14.25" customHeight="1" x14ac:dyDescent="0.2">
      <c r="A505" s="580" t="s">
        <v>1836</v>
      </c>
      <c r="B505" s="110">
        <f t="shared" si="9"/>
        <v>4.57</v>
      </c>
      <c r="C505" s="575">
        <v>46040</v>
      </c>
      <c r="D505" s="569">
        <v>46042</v>
      </c>
      <c r="E505" s="569">
        <v>46042</v>
      </c>
      <c r="F505" t="s">
        <v>909</v>
      </c>
      <c r="G505" t="s">
        <v>370</v>
      </c>
      <c r="H505" t="s">
        <v>367</v>
      </c>
      <c r="I505" t="s">
        <v>368</v>
      </c>
      <c r="J505" t="s">
        <v>1594</v>
      </c>
      <c r="K505" t="s">
        <v>1413</v>
      </c>
      <c r="L505" t="s">
        <v>1615</v>
      </c>
      <c r="M505" t="s">
        <v>2014</v>
      </c>
      <c r="N505" t="s">
        <v>747</v>
      </c>
      <c r="O505" t="s">
        <v>2015</v>
      </c>
      <c r="P505" t="s">
        <v>1933</v>
      </c>
      <c r="Q505" t="s">
        <v>370</v>
      </c>
    </row>
    <row r="506" spans="1:17" ht="14.25" customHeight="1" x14ac:dyDescent="0.2">
      <c r="A506" s="580" t="s">
        <v>1837</v>
      </c>
      <c r="B506" s="110">
        <f t="shared" si="9"/>
        <v>6.57</v>
      </c>
      <c r="C506" s="575">
        <v>46040</v>
      </c>
      <c r="D506" s="569">
        <v>46042</v>
      </c>
      <c r="E506" s="569">
        <v>46042</v>
      </c>
      <c r="F506" t="s">
        <v>2016</v>
      </c>
      <c r="G506" t="s">
        <v>370</v>
      </c>
      <c r="H506" t="s">
        <v>367</v>
      </c>
      <c r="I506" t="s">
        <v>368</v>
      </c>
      <c r="J506" t="s">
        <v>696</v>
      </c>
      <c r="K506" t="s">
        <v>697</v>
      </c>
      <c r="L506" t="s">
        <v>698</v>
      </c>
      <c r="M506" t="s">
        <v>2017</v>
      </c>
      <c r="N506" t="s">
        <v>741</v>
      </c>
      <c r="O506" t="s">
        <v>2018</v>
      </c>
      <c r="P506" t="s">
        <v>1933</v>
      </c>
      <c r="Q506" t="s">
        <v>370</v>
      </c>
    </row>
    <row r="507" spans="1:17" ht="14.25" customHeight="1" x14ac:dyDescent="0.2">
      <c r="A507" s="580" t="s">
        <v>1836</v>
      </c>
      <c r="B507" s="110">
        <f t="shared" si="9"/>
        <v>4.6000000000000005</v>
      </c>
      <c r="C507" s="575">
        <v>46040</v>
      </c>
      <c r="D507" s="569">
        <v>46042</v>
      </c>
      <c r="E507" s="569">
        <v>46042</v>
      </c>
      <c r="F507" t="s">
        <v>2019</v>
      </c>
      <c r="G507" t="s">
        <v>370</v>
      </c>
      <c r="H507" t="s">
        <v>367</v>
      </c>
      <c r="I507" t="s">
        <v>368</v>
      </c>
      <c r="J507" t="s">
        <v>1594</v>
      </c>
      <c r="K507" t="s">
        <v>1595</v>
      </c>
      <c r="L507" t="s">
        <v>1596</v>
      </c>
      <c r="M507" t="s">
        <v>2020</v>
      </c>
      <c r="N507" t="s">
        <v>741</v>
      </c>
      <c r="O507" t="s">
        <v>2021</v>
      </c>
      <c r="P507" t="s">
        <v>1933</v>
      </c>
      <c r="Q507" t="s">
        <v>370</v>
      </c>
    </row>
    <row r="508" spans="1:17" ht="14.25" customHeight="1" x14ac:dyDescent="0.2">
      <c r="A508" s="580" t="s">
        <v>1837</v>
      </c>
      <c r="B508" s="110">
        <f t="shared" si="9"/>
        <v>6.57</v>
      </c>
      <c r="C508" s="575">
        <v>46040</v>
      </c>
      <c r="D508" s="569">
        <v>46042</v>
      </c>
      <c r="E508" s="569">
        <v>46042</v>
      </c>
      <c r="F508" t="s">
        <v>2022</v>
      </c>
      <c r="G508" t="s">
        <v>370</v>
      </c>
      <c r="H508" t="s">
        <v>367</v>
      </c>
      <c r="I508" t="s">
        <v>368</v>
      </c>
      <c r="J508" t="s">
        <v>696</v>
      </c>
      <c r="K508" t="s">
        <v>697</v>
      </c>
      <c r="L508" t="s">
        <v>698</v>
      </c>
      <c r="M508" t="s">
        <v>2023</v>
      </c>
      <c r="N508" t="s">
        <v>741</v>
      </c>
      <c r="O508" t="s">
        <v>2024</v>
      </c>
      <c r="P508" t="s">
        <v>1933</v>
      </c>
      <c r="Q508" t="s">
        <v>370</v>
      </c>
    </row>
    <row r="509" spans="1:17" ht="14.25" customHeight="1" x14ac:dyDescent="0.2">
      <c r="A509" s="580" t="s">
        <v>1837</v>
      </c>
      <c r="B509" s="110">
        <f t="shared" si="9"/>
        <v>6.5200000000000005</v>
      </c>
      <c r="C509" s="575">
        <v>46040</v>
      </c>
      <c r="D509" s="569">
        <v>46042</v>
      </c>
      <c r="E509" s="569">
        <v>46042</v>
      </c>
      <c r="F509" t="s">
        <v>2025</v>
      </c>
      <c r="G509" t="s">
        <v>370</v>
      </c>
      <c r="H509" t="s">
        <v>367</v>
      </c>
      <c r="I509" t="s">
        <v>368</v>
      </c>
      <c r="J509" t="s">
        <v>696</v>
      </c>
      <c r="K509" t="s">
        <v>744</v>
      </c>
      <c r="L509" t="s">
        <v>745</v>
      </c>
      <c r="M509" t="s">
        <v>2026</v>
      </c>
      <c r="N509" t="s">
        <v>747</v>
      </c>
      <c r="O509" t="s">
        <v>2027</v>
      </c>
      <c r="P509" t="s">
        <v>1933</v>
      </c>
      <c r="Q509" t="s">
        <v>370</v>
      </c>
    </row>
    <row r="510" spans="1:17" ht="14.25" customHeight="1" x14ac:dyDescent="0.2">
      <c r="A510" s="580" t="s">
        <v>1836</v>
      </c>
      <c r="B510" s="110">
        <f t="shared" si="9"/>
        <v>4.6000000000000005</v>
      </c>
      <c r="C510" s="575">
        <v>46040</v>
      </c>
      <c r="D510" s="569">
        <v>46042</v>
      </c>
      <c r="E510" s="569">
        <v>46042</v>
      </c>
      <c r="F510" t="s">
        <v>2028</v>
      </c>
      <c r="G510" t="s">
        <v>370</v>
      </c>
      <c r="H510" t="s">
        <v>367</v>
      </c>
      <c r="I510" t="s">
        <v>368</v>
      </c>
      <c r="J510" t="s">
        <v>1594</v>
      </c>
      <c r="K510" t="s">
        <v>1595</v>
      </c>
      <c r="L510" t="s">
        <v>1596</v>
      </c>
      <c r="M510" t="s">
        <v>2029</v>
      </c>
      <c r="N510" t="s">
        <v>741</v>
      </c>
      <c r="O510" t="s">
        <v>2030</v>
      </c>
      <c r="P510" t="s">
        <v>1933</v>
      </c>
      <c r="Q510" t="s">
        <v>370</v>
      </c>
    </row>
    <row r="511" spans="1:17" ht="14.25" customHeight="1" x14ac:dyDescent="0.2">
      <c r="A511" s="580" t="s">
        <v>1836</v>
      </c>
      <c r="B511" s="110">
        <f t="shared" si="9"/>
        <v>4.6000000000000005</v>
      </c>
      <c r="C511" s="575">
        <v>46040</v>
      </c>
      <c r="D511" s="569">
        <v>46042</v>
      </c>
      <c r="E511" s="569">
        <v>46042</v>
      </c>
      <c r="F511" t="s">
        <v>2031</v>
      </c>
      <c r="G511" t="s">
        <v>370</v>
      </c>
      <c r="H511" t="s">
        <v>367</v>
      </c>
      <c r="I511" t="s">
        <v>368</v>
      </c>
      <c r="J511" t="s">
        <v>1594</v>
      </c>
      <c r="K511" t="s">
        <v>1595</v>
      </c>
      <c r="L511" t="s">
        <v>1596</v>
      </c>
      <c r="M511" t="s">
        <v>2032</v>
      </c>
      <c r="N511" t="s">
        <v>741</v>
      </c>
      <c r="O511" t="s">
        <v>2033</v>
      </c>
      <c r="P511" t="s">
        <v>1933</v>
      </c>
      <c r="Q511" t="s">
        <v>370</v>
      </c>
    </row>
    <row r="512" spans="1:17" ht="14.25" customHeight="1" x14ac:dyDescent="0.2">
      <c r="A512" s="580" t="s">
        <v>1836</v>
      </c>
      <c r="B512" s="110">
        <f t="shared" si="9"/>
        <v>4.54</v>
      </c>
      <c r="C512" s="575">
        <v>46040</v>
      </c>
      <c r="D512" s="569">
        <v>46042</v>
      </c>
      <c r="E512" s="569">
        <v>46042</v>
      </c>
      <c r="F512" t="s">
        <v>1220</v>
      </c>
      <c r="G512" t="s">
        <v>370</v>
      </c>
      <c r="H512" t="s">
        <v>367</v>
      </c>
      <c r="I512" t="s">
        <v>368</v>
      </c>
      <c r="J512" t="s">
        <v>1594</v>
      </c>
      <c r="K512" t="s">
        <v>2034</v>
      </c>
      <c r="L512" t="s">
        <v>2035</v>
      </c>
      <c r="M512" t="s">
        <v>2036</v>
      </c>
      <c r="N512" t="s">
        <v>741</v>
      </c>
      <c r="O512" t="s">
        <v>2037</v>
      </c>
      <c r="P512" t="s">
        <v>1933</v>
      </c>
      <c r="Q512" t="s">
        <v>370</v>
      </c>
    </row>
    <row r="513" spans="1:17" ht="14.25" customHeight="1" x14ac:dyDescent="0.2">
      <c r="A513" s="580" t="s">
        <v>1836</v>
      </c>
      <c r="B513" s="110">
        <f t="shared" si="9"/>
        <v>4.6000000000000005</v>
      </c>
      <c r="C513" s="575">
        <v>46040</v>
      </c>
      <c r="D513" s="569">
        <v>46042</v>
      </c>
      <c r="E513" s="569">
        <v>46042</v>
      </c>
      <c r="F513" t="s">
        <v>797</v>
      </c>
      <c r="G513" t="s">
        <v>370</v>
      </c>
      <c r="H513" t="s">
        <v>367</v>
      </c>
      <c r="I513" t="s">
        <v>368</v>
      </c>
      <c r="J513" t="s">
        <v>1594</v>
      </c>
      <c r="K513" t="s">
        <v>1595</v>
      </c>
      <c r="L513" t="s">
        <v>1596</v>
      </c>
      <c r="M513" t="s">
        <v>2038</v>
      </c>
      <c r="N513" t="s">
        <v>741</v>
      </c>
      <c r="O513" t="s">
        <v>2039</v>
      </c>
      <c r="P513" t="s">
        <v>1933</v>
      </c>
      <c r="Q513" t="s">
        <v>370</v>
      </c>
    </row>
    <row r="514" spans="1:17" ht="14.25" customHeight="1" x14ac:dyDescent="0.2">
      <c r="A514" s="580" t="s">
        <v>1836</v>
      </c>
      <c r="B514" s="110">
        <f t="shared" si="9"/>
        <v>4.6000000000000005</v>
      </c>
      <c r="C514" s="575">
        <v>46041</v>
      </c>
      <c r="D514" s="569">
        <v>46043</v>
      </c>
      <c r="E514" s="569">
        <v>46043</v>
      </c>
      <c r="F514" t="s">
        <v>874</v>
      </c>
      <c r="G514" t="s">
        <v>370</v>
      </c>
      <c r="H514" t="s">
        <v>367</v>
      </c>
      <c r="I514" t="s">
        <v>368</v>
      </c>
      <c r="J514" t="s">
        <v>1594</v>
      </c>
      <c r="K514" t="s">
        <v>1595</v>
      </c>
      <c r="L514" t="s">
        <v>1596</v>
      </c>
      <c r="M514" t="s">
        <v>2040</v>
      </c>
      <c r="N514" t="s">
        <v>741</v>
      </c>
      <c r="O514" t="s">
        <v>2041</v>
      </c>
      <c r="P514" t="s">
        <v>2042</v>
      </c>
      <c r="Q514" t="s">
        <v>370</v>
      </c>
    </row>
    <row r="515" spans="1:17" ht="14.25" customHeight="1" x14ac:dyDescent="0.2">
      <c r="A515" s="580" t="s">
        <v>1837</v>
      </c>
      <c r="B515" s="110">
        <f t="shared" si="9"/>
        <v>6.57</v>
      </c>
      <c r="C515" s="575">
        <v>46041</v>
      </c>
      <c r="D515" s="569">
        <v>46043</v>
      </c>
      <c r="E515" s="569">
        <v>46043</v>
      </c>
      <c r="F515" t="s">
        <v>2043</v>
      </c>
      <c r="G515" t="s">
        <v>370</v>
      </c>
      <c r="H515" t="s">
        <v>367</v>
      </c>
      <c r="I515" t="s">
        <v>368</v>
      </c>
      <c r="J515" t="s">
        <v>696</v>
      </c>
      <c r="K515" t="s">
        <v>697</v>
      </c>
      <c r="L515" t="s">
        <v>698</v>
      </c>
      <c r="M515" t="s">
        <v>2044</v>
      </c>
      <c r="N515" t="s">
        <v>741</v>
      </c>
      <c r="O515" t="s">
        <v>2045</v>
      </c>
      <c r="P515" t="s">
        <v>2042</v>
      </c>
      <c r="Q515" t="s">
        <v>370</v>
      </c>
    </row>
    <row r="516" spans="1:17" ht="14.25" customHeight="1" x14ac:dyDescent="0.2">
      <c r="A516" s="580" t="s">
        <v>1837</v>
      </c>
      <c r="B516" s="110">
        <f t="shared" si="9"/>
        <v>6.57</v>
      </c>
      <c r="C516" s="575">
        <v>46041</v>
      </c>
      <c r="D516" s="569">
        <v>46043</v>
      </c>
      <c r="E516" s="569">
        <v>46043</v>
      </c>
      <c r="F516" t="s">
        <v>2046</v>
      </c>
      <c r="G516" t="s">
        <v>370</v>
      </c>
      <c r="H516" t="s">
        <v>367</v>
      </c>
      <c r="I516" t="s">
        <v>368</v>
      </c>
      <c r="J516" t="s">
        <v>696</v>
      </c>
      <c r="K516" t="s">
        <v>697</v>
      </c>
      <c r="L516" t="s">
        <v>698</v>
      </c>
      <c r="M516" t="s">
        <v>2047</v>
      </c>
      <c r="N516" t="s">
        <v>741</v>
      </c>
      <c r="O516" t="s">
        <v>2048</v>
      </c>
      <c r="P516" t="s">
        <v>2042</v>
      </c>
      <c r="Q516" t="s">
        <v>370</v>
      </c>
    </row>
    <row r="517" spans="1:17" ht="14.25" customHeight="1" x14ac:dyDescent="0.2">
      <c r="A517" s="580" t="s">
        <v>1836</v>
      </c>
      <c r="B517" s="110">
        <f t="shared" si="9"/>
        <v>11.4</v>
      </c>
      <c r="C517" s="575">
        <v>46041</v>
      </c>
      <c r="D517" s="569">
        <v>46043</v>
      </c>
      <c r="E517" s="569">
        <v>46043</v>
      </c>
      <c r="F517" t="s">
        <v>1134</v>
      </c>
      <c r="G517" t="s">
        <v>370</v>
      </c>
      <c r="H517" t="s">
        <v>367</v>
      </c>
      <c r="I517" t="s">
        <v>368</v>
      </c>
      <c r="J517" t="s">
        <v>2049</v>
      </c>
      <c r="K517" t="s">
        <v>2050</v>
      </c>
      <c r="L517" t="s">
        <v>2051</v>
      </c>
      <c r="M517" t="s">
        <v>2052</v>
      </c>
      <c r="N517" t="s">
        <v>747</v>
      </c>
      <c r="O517" t="s">
        <v>2053</v>
      </c>
      <c r="P517" t="s">
        <v>2042</v>
      </c>
      <c r="Q517" t="s">
        <v>370</v>
      </c>
    </row>
    <row r="518" spans="1:17" ht="14.25" customHeight="1" x14ac:dyDescent="0.2">
      <c r="A518" s="580" t="s">
        <v>1836</v>
      </c>
      <c r="B518" s="110">
        <f t="shared" si="9"/>
        <v>4.57</v>
      </c>
      <c r="C518" s="575">
        <v>46041</v>
      </c>
      <c r="D518" s="569">
        <v>46043</v>
      </c>
      <c r="E518" s="569">
        <v>46043</v>
      </c>
      <c r="F518" t="s">
        <v>2054</v>
      </c>
      <c r="G518" t="s">
        <v>370</v>
      </c>
      <c r="H518" t="s">
        <v>367</v>
      </c>
      <c r="I518" t="s">
        <v>368</v>
      </c>
      <c r="J518" t="s">
        <v>1594</v>
      </c>
      <c r="K518" t="s">
        <v>1413</v>
      </c>
      <c r="L518" t="s">
        <v>1615</v>
      </c>
      <c r="M518" t="s">
        <v>2055</v>
      </c>
      <c r="N518" t="s">
        <v>747</v>
      </c>
      <c r="O518" t="s">
        <v>2056</v>
      </c>
      <c r="P518" t="s">
        <v>2042</v>
      </c>
      <c r="Q518" t="s">
        <v>370</v>
      </c>
    </row>
    <row r="519" spans="1:17" ht="14.25" customHeight="1" x14ac:dyDescent="0.2">
      <c r="A519" s="580" t="s">
        <v>1837</v>
      </c>
      <c r="B519" s="110">
        <f t="shared" si="9"/>
        <v>6.5</v>
      </c>
      <c r="C519" s="575">
        <v>46041</v>
      </c>
      <c r="D519" s="569">
        <v>46043</v>
      </c>
      <c r="E519" s="569">
        <v>46043</v>
      </c>
      <c r="F519" t="s">
        <v>2057</v>
      </c>
      <c r="G519" t="s">
        <v>370</v>
      </c>
      <c r="H519" t="s">
        <v>367</v>
      </c>
      <c r="I519" t="s">
        <v>368</v>
      </c>
      <c r="J519" t="s">
        <v>696</v>
      </c>
      <c r="K519" t="s">
        <v>1967</v>
      </c>
      <c r="L519" t="s">
        <v>1968</v>
      </c>
      <c r="M519" t="s">
        <v>2058</v>
      </c>
      <c r="N519" t="s">
        <v>741</v>
      </c>
      <c r="O519" t="s">
        <v>2059</v>
      </c>
      <c r="P519" t="s">
        <v>2042</v>
      </c>
      <c r="Q519" t="s">
        <v>370</v>
      </c>
    </row>
    <row r="520" spans="1:17" ht="14.25" customHeight="1" x14ac:dyDescent="0.2">
      <c r="A520" s="580" t="s">
        <v>1836</v>
      </c>
      <c r="B520" s="110">
        <f t="shared" si="9"/>
        <v>4.6000000000000005</v>
      </c>
      <c r="C520" s="575">
        <v>46041</v>
      </c>
      <c r="D520" s="569">
        <v>46043</v>
      </c>
      <c r="E520" s="569">
        <v>46043</v>
      </c>
      <c r="F520" t="s">
        <v>1739</v>
      </c>
      <c r="G520" t="s">
        <v>370</v>
      </c>
      <c r="H520" t="s">
        <v>367</v>
      </c>
      <c r="I520" t="s">
        <v>368</v>
      </c>
      <c r="J520" t="s">
        <v>1594</v>
      </c>
      <c r="K520" t="s">
        <v>1595</v>
      </c>
      <c r="L520" t="s">
        <v>1596</v>
      </c>
      <c r="M520" t="s">
        <v>2060</v>
      </c>
      <c r="N520" t="s">
        <v>741</v>
      </c>
      <c r="O520" t="s">
        <v>2061</v>
      </c>
      <c r="P520" t="s">
        <v>2042</v>
      </c>
      <c r="Q520" t="s">
        <v>370</v>
      </c>
    </row>
    <row r="521" spans="1:17" ht="14.25" customHeight="1" x14ac:dyDescent="0.2">
      <c r="A521" s="580" t="s">
        <v>1836</v>
      </c>
      <c r="B521" s="110">
        <f t="shared" si="9"/>
        <v>4.6000000000000005</v>
      </c>
      <c r="C521" s="575">
        <v>46041</v>
      </c>
      <c r="D521" s="569">
        <v>46043</v>
      </c>
      <c r="E521" s="569">
        <v>46043</v>
      </c>
      <c r="F521" t="s">
        <v>1647</v>
      </c>
      <c r="G521" t="s">
        <v>1647</v>
      </c>
      <c r="H521" t="s">
        <v>367</v>
      </c>
      <c r="I521" t="s">
        <v>368</v>
      </c>
      <c r="J521" t="s">
        <v>1594</v>
      </c>
      <c r="K521" t="s">
        <v>1595</v>
      </c>
      <c r="L521" t="s">
        <v>1596</v>
      </c>
      <c r="M521" t="s">
        <v>2062</v>
      </c>
      <c r="N521" t="s">
        <v>369</v>
      </c>
      <c r="O521" t="s">
        <v>2063</v>
      </c>
      <c r="P521" t="s">
        <v>2042</v>
      </c>
      <c r="Q521" t="s">
        <v>370</v>
      </c>
    </row>
    <row r="522" spans="1:17" ht="14.25" customHeight="1" x14ac:dyDescent="0.2">
      <c r="A522" s="580" t="s">
        <v>1836</v>
      </c>
      <c r="B522" s="110">
        <f t="shared" si="9"/>
        <v>4.6000000000000005</v>
      </c>
      <c r="C522" s="575">
        <v>46041</v>
      </c>
      <c r="D522" s="569">
        <v>46043</v>
      </c>
      <c r="E522" s="569">
        <v>46043</v>
      </c>
      <c r="F522" t="s">
        <v>1071</v>
      </c>
      <c r="G522" t="s">
        <v>370</v>
      </c>
      <c r="H522" t="s">
        <v>367</v>
      </c>
      <c r="I522" t="s">
        <v>368</v>
      </c>
      <c r="J522" t="s">
        <v>1594</v>
      </c>
      <c r="K522" t="s">
        <v>1595</v>
      </c>
      <c r="L522" t="s">
        <v>1596</v>
      </c>
      <c r="M522" t="s">
        <v>2064</v>
      </c>
      <c r="N522" t="s">
        <v>741</v>
      </c>
      <c r="O522" t="s">
        <v>2065</v>
      </c>
      <c r="P522" t="s">
        <v>2042</v>
      </c>
      <c r="Q522" t="s">
        <v>370</v>
      </c>
    </row>
    <row r="523" spans="1:17" ht="14.25" customHeight="1" x14ac:dyDescent="0.2">
      <c r="A523" s="580" t="s">
        <v>1836</v>
      </c>
      <c r="B523" s="110">
        <f t="shared" si="9"/>
        <v>4.57</v>
      </c>
      <c r="C523" s="575">
        <v>46041</v>
      </c>
      <c r="D523" s="569">
        <v>46043</v>
      </c>
      <c r="E523" s="569">
        <v>46043</v>
      </c>
      <c r="F523" t="s">
        <v>940</v>
      </c>
      <c r="G523" t="s">
        <v>370</v>
      </c>
      <c r="H523" t="s">
        <v>367</v>
      </c>
      <c r="I523" t="s">
        <v>368</v>
      </c>
      <c r="J523" t="s">
        <v>1594</v>
      </c>
      <c r="K523" t="s">
        <v>1413</v>
      </c>
      <c r="L523" t="s">
        <v>1615</v>
      </c>
      <c r="M523" s="574" t="s">
        <v>2066</v>
      </c>
      <c r="N523" t="s">
        <v>747</v>
      </c>
      <c r="O523" t="s">
        <v>2067</v>
      </c>
      <c r="P523" t="s">
        <v>2042</v>
      </c>
      <c r="Q523" t="s">
        <v>370</v>
      </c>
    </row>
    <row r="524" spans="1:17" ht="14.25" customHeight="1" x14ac:dyDescent="0.2">
      <c r="A524" s="580" t="s">
        <v>1837</v>
      </c>
      <c r="B524" s="110">
        <f t="shared" si="9"/>
        <v>6.57</v>
      </c>
      <c r="C524" s="575">
        <v>46041</v>
      </c>
      <c r="D524" s="569">
        <v>46043</v>
      </c>
      <c r="E524" s="569">
        <v>46043</v>
      </c>
      <c r="F524" t="s">
        <v>2068</v>
      </c>
      <c r="G524" t="s">
        <v>370</v>
      </c>
      <c r="H524" t="s">
        <v>367</v>
      </c>
      <c r="I524" t="s">
        <v>368</v>
      </c>
      <c r="J524" t="s">
        <v>696</v>
      </c>
      <c r="K524" t="s">
        <v>697</v>
      </c>
      <c r="L524" t="s">
        <v>698</v>
      </c>
      <c r="M524" t="s">
        <v>2069</v>
      </c>
      <c r="N524" t="s">
        <v>741</v>
      </c>
      <c r="O524" t="s">
        <v>2070</v>
      </c>
      <c r="P524" t="s">
        <v>2042</v>
      </c>
      <c r="Q524" t="s">
        <v>370</v>
      </c>
    </row>
    <row r="525" spans="1:17" ht="14.25" customHeight="1" x14ac:dyDescent="0.2">
      <c r="A525" s="580" t="s">
        <v>1836</v>
      </c>
      <c r="B525" s="110">
        <f t="shared" si="9"/>
        <v>4.57</v>
      </c>
      <c r="C525" s="575">
        <v>46041</v>
      </c>
      <c r="D525" s="569">
        <v>46043</v>
      </c>
      <c r="E525" s="569">
        <v>46043</v>
      </c>
      <c r="F525" t="s">
        <v>1131</v>
      </c>
      <c r="G525" t="s">
        <v>370</v>
      </c>
      <c r="H525" t="s">
        <v>367</v>
      </c>
      <c r="I525" t="s">
        <v>368</v>
      </c>
      <c r="J525" t="s">
        <v>1594</v>
      </c>
      <c r="K525" t="s">
        <v>1413</v>
      </c>
      <c r="L525" t="s">
        <v>1615</v>
      </c>
      <c r="M525" t="s">
        <v>2071</v>
      </c>
      <c r="N525" t="s">
        <v>747</v>
      </c>
      <c r="O525" t="s">
        <v>2072</v>
      </c>
      <c r="P525" t="s">
        <v>2042</v>
      </c>
      <c r="Q525" t="s">
        <v>370</v>
      </c>
    </row>
    <row r="526" spans="1:17" ht="14.25" customHeight="1" x14ac:dyDescent="0.2">
      <c r="A526" s="580" t="s">
        <v>1836</v>
      </c>
      <c r="B526" s="110">
        <f t="shared" si="9"/>
        <v>4.57</v>
      </c>
      <c r="C526" s="575">
        <v>46041</v>
      </c>
      <c r="D526" s="569">
        <v>46043</v>
      </c>
      <c r="E526" s="569">
        <v>46043</v>
      </c>
      <c r="F526" t="s">
        <v>1559</v>
      </c>
      <c r="G526" t="s">
        <v>370</v>
      </c>
      <c r="H526" t="s">
        <v>367</v>
      </c>
      <c r="I526" t="s">
        <v>368</v>
      </c>
      <c r="J526" t="s">
        <v>1594</v>
      </c>
      <c r="K526" t="s">
        <v>1413</v>
      </c>
      <c r="L526" t="s">
        <v>1615</v>
      </c>
      <c r="M526" t="s">
        <v>2073</v>
      </c>
      <c r="N526" t="s">
        <v>747</v>
      </c>
      <c r="O526" t="s">
        <v>2074</v>
      </c>
      <c r="P526" t="s">
        <v>2042</v>
      </c>
      <c r="Q526" t="s">
        <v>370</v>
      </c>
    </row>
    <row r="527" spans="1:17" ht="14.25" customHeight="1" x14ac:dyDescent="0.2">
      <c r="A527" s="580" t="s">
        <v>1836</v>
      </c>
      <c r="B527" s="110">
        <f t="shared" si="9"/>
        <v>4.57</v>
      </c>
      <c r="C527" s="575">
        <v>46041</v>
      </c>
      <c r="D527" s="569">
        <v>46043</v>
      </c>
      <c r="E527" s="569">
        <v>46043</v>
      </c>
      <c r="F527" t="s">
        <v>1065</v>
      </c>
      <c r="G527" t="s">
        <v>370</v>
      </c>
      <c r="H527" t="s">
        <v>367</v>
      </c>
      <c r="I527" t="s">
        <v>368</v>
      </c>
      <c r="J527" t="s">
        <v>1594</v>
      </c>
      <c r="K527" t="s">
        <v>1413</v>
      </c>
      <c r="L527" t="s">
        <v>1615</v>
      </c>
      <c r="M527" t="s">
        <v>2075</v>
      </c>
      <c r="N527" t="s">
        <v>747</v>
      </c>
      <c r="O527" t="s">
        <v>2076</v>
      </c>
      <c r="P527" t="s">
        <v>2042</v>
      </c>
      <c r="Q527" t="s">
        <v>370</v>
      </c>
    </row>
    <row r="528" spans="1:17" ht="14.25" customHeight="1" x14ac:dyDescent="0.2">
      <c r="A528" s="580" t="s">
        <v>1837</v>
      </c>
      <c r="B528" s="110">
        <f t="shared" si="9"/>
        <v>6.57</v>
      </c>
      <c r="C528" s="575">
        <v>46041</v>
      </c>
      <c r="D528" s="569">
        <v>46043</v>
      </c>
      <c r="E528" s="569">
        <v>46043</v>
      </c>
      <c r="F528" t="s">
        <v>1150</v>
      </c>
      <c r="G528" t="s">
        <v>370</v>
      </c>
      <c r="H528" t="s">
        <v>367</v>
      </c>
      <c r="I528" t="s">
        <v>368</v>
      </c>
      <c r="J528" t="s">
        <v>696</v>
      </c>
      <c r="K528" t="s">
        <v>697</v>
      </c>
      <c r="L528" t="s">
        <v>698</v>
      </c>
      <c r="M528" t="s">
        <v>2077</v>
      </c>
      <c r="N528" t="s">
        <v>741</v>
      </c>
      <c r="O528" t="s">
        <v>2078</v>
      </c>
      <c r="P528" t="s">
        <v>2042</v>
      </c>
      <c r="Q528" t="s">
        <v>370</v>
      </c>
    </row>
    <row r="529" spans="1:17" ht="14.25" customHeight="1" x14ac:dyDescent="0.2">
      <c r="A529" s="580" t="s">
        <v>1836</v>
      </c>
      <c r="B529" s="110">
        <f t="shared" si="9"/>
        <v>4.57</v>
      </c>
      <c r="C529" s="575">
        <v>46041</v>
      </c>
      <c r="D529" s="569">
        <v>46043</v>
      </c>
      <c r="E529" s="569">
        <v>46043</v>
      </c>
      <c r="F529" t="s">
        <v>903</v>
      </c>
      <c r="G529" t="s">
        <v>370</v>
      </c>
      <c r="H529" t="s">
        <v>367</v>
      </c>
      <c r="I529" t="s">
        <v>368</v>
      </c>
      <c r="J529" t="s">
        <v>1594</v>
      </c>
      <c r="K529" t="s">
        <v>1413</v>
      </c>
      <c r="L529" t="s">
        <v>1615</v>
      </c>
      <c r="M529" t="s">
        <v>2079</v>
      </c>
      <c r="N529" t="s">
        <v>747</v>
      </c>
      <c r="O529" t="s">
        <v>2080</v>
      </c>
      <c r="P529" t="s">
        <v>2042</v>
      </c>
      <c r="Q529" t="s">
        <v>370</v>
      </c>
    </row>
    <row r="530" spans="1:17" ht="14.25" customHeight="1" x14ac:dyDescent="0.2">
      <c r="A530" s="580" t="s">
        <v>1836</v>
      </c>
      <c r="B530" s="110">
        <f t="shared" si="9"/>
        <v>4.57</v>
      </c>
      <c r="C530" s="575">
        <v>46041</v>
      </c>
      <c r="D530" s="569">
        <v>46043</v>
      </c>
      <c r="E530" s="569">
        <v>46043</v>
      </c>
      <c r="F530" t="s">
        <v>2081</v>
      </c>
      <c r="G530" t="s">
        <v>370</v>
      </c>
      <c r="H530" t="s">
        <v>367</v>
      </c>
      <c r="I530" t="s">
        <v>368</v>
      </c>
      <c r="J530" t="s">
        <v>1594</v>
      </c>
      <c r="K530" t="s">
        <v>1413</v>
      </c>
      <c r="L530" t="s">
        <v>1615</v>
      </c>
      <c r="M530" t="s">
        <v>2082</v>
      </c>
      <c r="N530" t="s">
        <v>747</v>
      </c>
      <c r="O530" t="s">
        <v>2083</v>
      </c>
      <c r="P530" t="s">
        <v>2042</v>
      </c>
      <c r="Q530" t="s">
        <v>370</v>
      </c>
    </row>
    <row r="531" spans="1:17" ht="14.25" customHeight="1" x14ac:dyDescent="0.2">
      <c r="A531" s="580" t="s">
        <v>1836</v>
      </c>
      <c r="B531" s="110">
        <f t="shared" si="9"/>
        <v>4.57</v>
      </c>
      <c r="C531" s="575">
        <v>46041</v>
      </c>
      <c r="D531" s="569">
        <v>46043</v>
      </c>
      <c r="E531" s="569">
        <v>46043</v>
      </c>
      <c r="F531" t="s">
        <v>2084</v>
      </c>
      <c r="G531" t="s">
        <v>370</v>
      </c>
      <c r="H531" t="s">
        <v>367</v>
      </c>
      <c r="I531" t="s">
        <v>368</v>
      </c>
      <c r="J531" t="s">
        <v>1594</v>
      </c>
      <c r="K531" t="s">
        <v>1413</v>
      </c>
      <c r="L531" t="s">
        <v>1615</v>
      </c>
      <c r="M531" t="s">
        <v>2085</v>
      </c>
      <c r="N531" t="s">
        <v>747</v>
      </c>
      <c r="O531" s="574" t="s">
        <v>2086</v>
      </c>
      <c r="P531" t="s">
        <v>2042</v>
      </c>
      <c r="Q531" t="s">
        <v>370</v>
      </c>
    </row>
    <row r="532" spans="1:17" ht="14.25" customHeight="1" x14ac:dyDescent="0.2">
      <c r="A532" s="580" t="s">
        <v>1836</v>
      </c>
      <c r="B532" s="110">
        <f t="shared" si="9"/>
        <v>4.57</v>
      </c>
      <c r="C532" s="575">
        <v>46041</v>
      </c>
      <c r="D532" s="569">
        <v>46043</v>
      </c>
      <c r="E532" s="569">
        <v>46043</v>
      </c>
      <c r="F532" t="s">
        <v>2087</v>
      </c>
      <c r="G532" t="s">
        <v>370</v>
      </c>
      <c r="H532" t="s">
        <v>367</v>
      </c>
      <c r="I532" t="s">
        <v>368</v>
      </c>
      <c r="J532" t="s">
        <v>1594</v>
      </c>
      <c r="K532" t="s">
        <v>1413</v>
      </c>
      <c r="L532" t="s">
        <v>1615</v>
      </c>
      <c r="M532" t="s">
        <v>2088</v>
      </c>
      <c r="N532" t="s">
        <v>747</v>
      </c>
      <c r="O532" t="s">
        <v>2089</v>
      </c>
      <c r="P532" t="s">
        <v>2042</v>
      </c>
      <c r="Q532" t="s">
        <v>370</v>
      </c>
    </row>
    <row r="533" spans="1:17" ht="14.25" customHeight="1" x14ac:dyDescent="0.2">
      <c r="A533" s="580" t="s">
        <v>1836</v>
      </c>
      <c r="B533" s="110">
        <f t="shared" si="9"/>
        <v>4.6000000000000005</v>
      </c>
      <c r="C533" s="575">
        <v>46041</v>
      </c>
      <c r="D533" s="569">
        <v>46043</v>
      </c>
      <c r="E533" s="569">
        <v>46043</v>
      </c>
      <c r="F533" t="s">
        <v>1538</v>
      </c>
      <c r="G533" t="s">
        <v>370</v>
      </c>
      <c r="H533" t="s">
        <v>367</v>
      </c>
      <c r="I533" t="s">
        <v>368</v>
      </c>
      <c r="J533" t="s">
        <v>1594</v>
      </c>
      <c r="K533" t="s">
        <v>1595</v>
      </c>
      <c r="L533" t="s">
        <v>1596</v>
      </c>
      <c r="M533" t="s">
        <v>2090</v>
      </c>
      <c r="N533" t="s">
        <v>741</v>
      </c>
      <c r="O533" t="s">
        <v>2091</v>
      </c>
      <c r="P533" t="s">
        <v>2042</v>
      </c>
      <c r="Q533" t="s">
        <v>370</v>
      </c>
    </row>
    <row r="534" spans="1:17" ht="14.25" customHeight="1" x14ac:dyDescent="0.2">
      <c r="A534" s="580" t="s">
        <v>1836</v>
      </c>
      <c r="B534" s="110">
        <f t="shared" ref="B534:B597" si="10">_xlfn.NUMBERVALUE(L534)*0.01</f>
        <v>4.6000000000000005</v>
      </c>
      <c r="C534" s="575">
        <v>46041</v>
      </c>
      <c r="D534" s="569">
        <v>46043</v>
      </c>
      <c r="E534" s="569">
        <v>46043</v>
      </c>
      <c r="F534" t="s">
        <v>2092</v>
      </c>
      <c r="G534" t="s">
        <v>370</v>
      </c>
      <c r="H534" t="s">
        <v>367</v>
      </c>
      <c r="I534" t="s">
        <v>368</v>
      </c>
      <c r="J534" t="s">
        <v>1594</v>
      </c>
      <c r="K534" t="s">
        <v>1595</v>
      </c>
      <c r="L534" t="s">
        <v>1596</v>
      </c>
      <c r="M534" t="s">
        <v>2093</v>
      </c>
      <c r="N534" t="s">
        <v>741</v>
      </c>
      <c r="O534" t="s">
        <v>2094</v>
      </c>
      <c r="P534" t="s">
        <v>2042</v>
      </c>
      <c r="Q534" t="s">
        <v>370</v>
      </c>
    </row>
    <row r="535" spans="1:17" ht="14.25" customHeight="1" x14ac:dyDescent="0.2">
      <c r="A535" s="580" t="s">
        <v>1836</v>
      </c>
      <c r="B535" s="110">
        <f t="shared" si="10"/>
        <v>4.6000000000000005</v>
      </c>
      <c r="C535" s="575">
        <v>46041</v>
      </c>
      <c r="D535" s="569">
        <v>46043</v>
      </c>
      <c r="E535" s="569">
        <v>46043</v>
      </c>
      <c r="F535" t="s">
        <v>943</v>
      </c>
      <c r="G535" t="s">
        <v>943</v>
      </c>
      <c r="H535" t="s">
        <v>367</v>
      </c>
      <c r="I535" t="s">
        <v>368</v>
      </c>
      <c r="J535" t="s">
        <v>1594</v>
      </c>
      <c r="K535" t="s">
        <v>1595</v>
      </c>
      <c r="L535" t="s">
        <v>1596</v>
      </c>
      <c r="M535" t="s">
        <v>2095</v>
      </c>
      <c r="N535" t="s">
        <v>369</v>
      </c>
      <c r="O535" t="s">
        <v>2096</v>
      </c>
      <c r="P535" t="s">
        <v>2042</v>
      </c>
      <c r="Q535" t="s">
        <v>370</v>
      </c>
    </row>
    <row r="536" spans="1:17" ht="14.25" customHeight="1" x14ac:dyDescent="0.2">
      <c r="A536" s="580" t="s">
        <v>1836</v>
      </c>
      <c r="B536" s="110">
        <f t="shared" si="10"/>
        <v>4.57</v>
      </c>
      <c r="C536" s="575">
        <v>46041</v>
      </c>
      <c r="D536" s="569">
        <v>46043</v>
      </c>
      <c r="E536" s="569">
        <v>46043</v>
      </c>
      <c r="F536" t="s">
        <v>2097</v>
      </c>
      <c r="G536" t="s">
        <v>370</v>
      </c>
      <c r="H536" t="s">
        <v>367</v>
      </c>
      <c r="I536" t="s">
        <v>368</v>
      </c>
      <c r="J536" t="s">
        <v>1594</v>
      </c>
      <c r="K536" t="s">
        <v>1413</v>
      </c>
      <c r="L536" t="s">
        <v>1615</v>
      </c>
      <c r="M536" t="s">
        <v>2098</v>
      </c>
      <c r="N536" t="s">
        <v>747</v>
      </c>
      <c r="O536" t="s">
        <v>2099</v>
      </c>
      <c r="P536" t="s">
        <v>2042</v>
      </c>
      <c r="Q536" t="s">
        <v>370</v>
      </c>
    </row>
    <row r="537" spans="1:17" ht="14.25" customHeight="1" x14ac:dyDescent="0.2">
      <c r="A537" s="580" t="s">
        <v>1837</v>
      </c>
      <c r="B537" s="110">
        <f t="shared" si="10"/>
        <v>6.57</v>
      </c>
      <c r="C537" s="575">
        <v>46041</v>
      </c>
      <c r="D537" s="569">
        <v>46043</v>
      </c>
      <c r="E537" s="569">
        <v>46043</v>
      </c>
      <c r="F537" t="s">
        <v>1147</v>
      </c>
      <c r="G537" t="s">
        <v>2100</v>
      </c>
      <c r="H537" t="s">
        <v>367</v>
      </c>
      <c r="I537" t="s">
        <v>368</v>
      </c>
      <c r="J537" t="s">
        <v>696</v>
      </c>
      <c r="K537" t="s">
        <v>697</v>
      </c>
      <c r="L537" t="s">
        <v>698</v>
      </c>
      <c r="M537" t="s">
        <v>2101</v>
      </c>
      <c r="N537" t="s">
        <v>369</v>
      </c>
      <c r="O537" t="s">
        <v>2102</v>
      </c>
      <c r="P537" t="s">
        <v>2042</v>
      </c>
      <c r="Q537" t="s">
        <v>370</v>
      </c>
    </row>
    <row r="538" spans="1:17" ht="14.25" customHeight="1" x14ac:dyDescent="0.2">
      <c r="A538" s="580" t="s">
        <v>1837</v>
      </c>
      <c r="B538" s="110">
        <f t="shared" si="10"/>
        <v>6.57</v>
      </c>
      <c r="C538" s="575">
        <v>46041</v>
      </c>
      <c r="D538" s="569">
        <v>46043</v>
      </c>
      <c r="E538" s="569">
        <v>46043</v>
      </c>
      <c r="F538" t="s">
        <v>2103</v>
      </c>
      <c r="G538" t="s">
        <v>370</v>
      </c>
      <c r="H538" t="s">
        <v>367</v>
      </c>
      <c r="I538" t="s">
        <v>368</v>
      </c>
      <c r="J538" t="s">
        <v>696</v>
      </c>
      <c r="K538" t="s">
        <v>697</v>
      </c>
      <c r="L538" t="s">
        <v>698</v>
      </c>
      <c r="M538" t="s">
        <v>2104</v>
      </c>
      <c r="N538" t="s">
        <v>741</v>
      </c>
      <c r="O538" t="s">
        <v>2105</v>
      </c>
      <c r="P538" t="s">
        <v>2042</v>
      </c>
      <c r="Q538" t="s">
        <v>370</v>
      </c>
    </row>
    <row r="539" spans="1:17" ht="14.25" customHeight="1" x14ac:dyDescent="0.2">
      <c r="A539" s="580" t="s">
        <v>1836</v>
      </c>
      <c r="B539" s="110">
        <f t="shared" si="10"/>
        <v>4.57</v>
      </c>
      <c r="C539" s="575">
        <v>46041</v>
      </c>
      <c r="D539" s="569">
        <v>46043</v>
      </c>
      <c r="E539" s="569">
        <v>46043</v>
      </c>
      <c r="F539" t="s">
        <v>1184</v>
      </c>
      <c r="G539" t="s">
        <v>370</v>
      </c>
      <c r="H539" t="s">
        <v>367</v>
      </c>
      <c r="I539" t="s">
        <v>368</v>
      </c>
      <c r="J539" t="s">
        <v>1594</v>
      </c>
      <c r="K539" t="s">
        <v>1413</v>
      </c>
      <c r="L539" t="s">
        <v>1615</v>
      </c>
      <c r="M539" t="s">
        <v>2106</v>
      </c>
      <c r="N539" t="s">
        <v>747</v>
      </c>
      <c r="O539" t="s">
        <v>2107</v>
      </c>
      <c r="P539" t="s">
        <v>2042</v>
      </c>
      <c r="Q539" t="s">
        <v>370</v>
      </c>
    </row>
    <row r="540" spans="1:17" ht="14.25" customHeight="1" x14ac:dyDescent="0.2">
      <c r="A540" s="580" t="s">
        <v>168</v>
      </c>
      <c r="B540" s="110">
        <f t="shared" si="10"/>
        <v>3.6</v>
      </c>
      <c r="C540" s="575">
        <v>46042</v>
      </c>
      <c r="D540" s="569">
        <v>46044</v>
      </c>
      <c r="E540" s="569">
        <v>46044</v>
      </c>
      <c r="F540" t="s">
        <v>959</v>
      </c>
      <c r="G540" t="s">
        <v>370</v>
      </c>
      <c r="H540" t="s">
        <v>367</v>
      </c>
      <c r="I540" t="s">
        <v>368</v>
      </c>
      <c r="J540" t="s">
        <v>1776</v>
      </c>
      <c r="K540" t="s">
        <v>1399</v>
      </c>
      <c r="L540" t="s">
        <v>1777</v>
      </c>
      <c r="M540" t="s">
        <v>2108</v>
      </c>
      <c r="N540" t="s">
        <v>747</v>
      </c>
      <c r="O540" t="s">
        <v>2109</v>
      </c>
      <c r="P540" t="s">
        <v>2110</v>
      </c>
      <c r="Q540" t="s">
        <v>370</v>
      </c>
    </row>
    <row r="541" spans="1:17" ht="14.25" customHeight="1" x14ac:dyDescent="0.2">
      <c r="A541" s="580" t="s">
        <v>167</v>
      </c>
      <c r="B541" s="110">
        <f t="shared" si="10"/>
        <v>1.6500000000000001</v>
      </c>
      <c r="C541" s="575">
        <v>46042</v>
      </c>
      <c r="D541" s="569">
        <v>46044</v>
      </c>
      <c r="E541" s="569">
        <v>46044</v>
      </c>
      <c r="F541" t="s">
        <v>2111</v>
      </c>
      <c r="G541" t="s">
        <v>370</v>
      </c>
      <c r="H541" t="s">
        <v>367</v>
      </c>
      <c r="I541" t="s">
        <v>368</v>
      </c>
      <c r="J541" t="s">
        <v>1757</v>
      </c>
      <c r="K541" t="s">
        <v>1831</v>
      </c>
      <c r="L541" t="s">
        <v>1832</v>
      </c>
      <c r="M541" t="s">
        <v>2112</v>
      </c>
      <c r="N541" t="s">
        <v>747</v>
      </c>
      <c r="O541" t="s">
        <v>2113</v>
      </c>
      <c r="P541" t="s">
        <v>2110</v>
      </c>
      <c r="Q541" t="s">
        <v>370</v>
      </c>
    </row>
    <row r="542" spans="1:17" ht="14.25" customHeight="1" x14ac:dyDescent="0.2">
      <c r="A542" s="580" t="s">
        <v>167</v>
      </c>
      <c r="B542" s="110">
        <f t="shared" si="10"/>
        <v>1.6600000000000001</v>
      </c>
      <c r="C542" s="575">
        <v>46042</v>
      </c>
      <c r="D542" s="569">
        <v>46044</v>
      </c>
      <c r="E542" s="569">
        <v>46044</v>
      </c>
      <c r="F542" t="s">
        <v>2031</v>
      </c>
      <c r="G542" t="s">
        <v>370</v>
      </c>
      <c r="H542" t="s">
        <v>367</v>
      </c>
      <c r="I542" t="s">
        <v>368</v>
      </c>
      <c r="J542" t="s">
        <v>1757</v>
      </c>
      <c r="K542" t="s">
        <v>1790</v>
      </c>
      <c r="L542" t="s">
        <v>1791</v>
      </c>
      <c r="M542" t="s">
        <v>2114</v>
      </c>
      <c r="N542" t="s">
        <v>741</v>
      </c>
      <c r="O542" t="s">
        <v>2115</v>
      </c>
      <c r="P542" t="s">
        <v>2110</v>
      </c>
      <c r="Q542" t="s">
        <v>370</v>
      </c>
    </row>
    <row r="543" spans="1:17" ht="14.25" customHeight="1" x14ac:dyDescent="0.2">
      <c r="A543" s="580" t="s">
        <v>167</v>
      </c>
      <c r="B543" s="110">
        <f t="shared" si="10"/>
        <v>1.6400000000000001</v>
      </c>
      <c r="C543" s="575">
        <v>46042</v>
      </c>
      <c r="D543" s="569">
        <v>46044</v>
      </c>
      <c r="E543" s="569">
        <v>46044</v>
      </c>
      <c r="F543" t="s">
        <v>1220</v>
      </c>
      <c r="G543" t="s">
        <v>370</v>
      </c>
      <c r="H543" t="s">
        <v>367</v>
      </c>
      <c r="I543" t="s">
        <v>368</v>
      </c>
      <c r="J543" t="s">
        <v>1757</v>
      </c>
      <c r="K543" t="s">
        <v>1758</v>
      </c>
      <c r="L543" t="s">
        <v>1759</v>
      </c>
      <c r="M543" t="s">
        <v>2116</v>
      </c>
      <c r="N543" t="s">
        <v>741</v>
      </c>
      <c r="O543" t="s">
        <v>2117</v>
      </c>
      <c r="P543" t="s">
        <v>2110</v>
      </c>
      <c r="Q543" t="s">
        <v>370</v>
      </c>
    </row>
    <row r="544" spans="1:17" ht="14.25" customHeight="1" x14ac:dyDescent="0.2">
      <c r="A544" s="580" t="s">
        <v>167</v>
      </c>
      <c r="B544" s="110">
        <f t="shared" si="10"/>
        <v>1.6600000000000001</v>
      </c>
      <c r="C544" s="575">
        <v>46042</v>
      </c>
      <c r="D544" s="569">
        <v>46044</v>
      </c>
      <c r="E544" s="569">
        <v>46044</v>
      </c>
      <c r="F544" t="s">
        <v>865</v>
      </c>
      <c r="G544" t="s">
        <v>370</v>
      </c>
      <c r="H544" t="s">
        <v>367</v>
      </c>
      <c r="I544" t="s">
        <v>368</v>
      </c>
      <c r="J544" t="s">
        <v>1757</v>
      </c>
      <c r="K544" t="s">
        <v>1790</v>
      </c>
      <c r="L544" t="s">
        <v>1791</v>
      </c>
      <c r="M544" t="s">
        <v>2118</v>
      </c>
      <c r="N544" t="s">
        <v>741</v>
      </c>
      <c r="O544" t="s">
        <v>2119</v>
      </c>
      <c r="P544" t="s">
        <v>2110</v>
      </c>
      <c r="Q544" t="s">
        <v>370</v>
      </c>
    </row>
    <row r="545" spans="1:17" ht="14.25" customHeight="1" x14ac:dyDescent="0.2">
      <c r="A545" s="580" t="s">
        <v>167</v>
      </c>
      <c r="B545" s="110">
        <f t="shared" si="10"/>
        <v>1.6600000000000001</v>
      </c>
      <c r="C545" s="575">
        <v>46043</v>
      </c>
      <c r="D545" s="569">
        <v>46045</v>
      </c>
      <c r="E545" s="569">
        <v>46045</v>
      </c>
      <c r="F545" t="s">
        <v>1034</v>
      </c>
      <c r="G545" t="s">
        <v>370</v>
      </c>
      <c r="H545" t="s">
        <v>367</v>
      </c>
      <c r="I545" t="s">
        <v>368</v>
      </c>
      <c r="J545" t="s">
        <v>1757</v>
      </c>
      <c r="K545" t="s">
        <v>1790</v>
      </c>
      <c r="L545" t="s">
        <v>1791</v>
      </c>
      <c r="M545" t="s">
        <v>2120</v>
      </c>
      <c r="N545" t="s">
        <v>741</v>
      </c>
      <c r="O545" t="s">
        <v>2121</v>
      </c>
      <c r="P545" t="s">
        <v>2122</v>
      </c>
      <c r="Q545" t="s">
        <v>370</v>
      </c>
    </row>
    <row r="546" spans="1:17" ht="14.25" customHeight="1" x14ac:dyDescent="0.2">
      <c r="A546" s="580" t="s">
        <v>167</v>
      </c>
      <c r="B546" s="110">
        <f t="shared" si="10"/>
        <v>1.6600000000000001</v>
      </c>
      <c r="C546" s="575">
        <v>46043</v>
      </c>
      <c r="D546" s="569">
        <v>46045</v>
      </c>
      <c r="E546" s="569">
        <v>46045</v>
      </c>
      <c r="F546" t="s">
        <v>1431</v>
      </c>
      <c r="G546" t="s">
        <v>370</v>
      </c>
      <c r="H546" t="s">
        <v>367</v>
      </c>
      <c r="I546" t="s">
        <v>368</v>
      </c>
      <c r="J546" t="s">
        <v>1757</v>
      </c>
      <c r="K546" t="s">
        <v>1790</v>
      </c>
      <c r="L546" t="s">
        <v>1791</v>
      </c>
      <c r="M546" t="s">
        <v>2123</v>
      </c>
      <c r="N546" t="s">
        <v>741</v>
      </c>
      <c r="O546" t="s">
        <v>2124</v>
      </c>
      <c r="P546" t="s">
        <v>2122</v>
      </c>
      <c r="Q546" t="s">
        <v>370</v>
      </c>
    </row>
    <row r="547" spans="1:17" ht="14.25" customHeight="1" x14ac:dyDescent="0.2">
      <c r="A547" s="580" t="s">
        <v>167</v>
      </c>
      <c r="B547" s="110">
        <f t="shared" si="10"/>
        <v>1.6500000000000001</v>
      </c>
      <c r="C547" s="575">
        <v>46043</v>
      </c>
      <c r="D547" s="569">
        <v>46045</v>
      </c>
      <c r="E547" s="569">
        <v>46045</v>
      </c>
      <c r="F547" t="s">
        <v>1784</v>
      </c>
      <c r="G547" t="s">
        <v>370</v>
      </c>
      <c r="H547" t="s">
        <v>367</v>
      </c>
      <c r="I547" t="s">
        <v>368</v>
      </c>
      <c r="J547" t="s">
        <v>1757</v>
      </c>
      <c r="K547" t="s">
        <v>1831</v>
      </c>
      <c r="L547" t="s">
        <v>1832</v>
      </c>
      <c r="M547" t="s">
        <v>2125</v>
      </c>
      <c r="N547" t="s">
        <v>747</v>
      </c>
      <c r="O547" t="s">
        <v>2126</v>
      </c>
      <c r="P547" t="s">
        <v>2122</v>
      </c>
      <c r="Q547" t="s">
        <v>370</v>
      </c>
    </row>
    <row r="548" spans="1:17" ht="14.25" customHeight="1" x14ac:dyDescent="0.2">
      <c r="A548" s="580" t="s">
        <v>167</v>
      </c>
      <c r="B548" s="110">
        <f t="shared" si="10"/>
        <v>1.6600000000000001</v>
      </c>
      <c r="C548" s="575">
        <v>46043</v>
      </c>
      <c r="D548" s="569">
        <v>46045</v>
      </c>
      <c r="E548" s="569">
        <v>46045</v>
      </c>
      <c r="F548" t="s">
        <v>783</v>
      </c>
      <c r="G548" t="s">
        <v>370</v>
      </c>
      <c r="H548" t="s">
        <v>367</v>
      </c>
      <c r="I548" t="s">
        <v>368</v>
      </c>
      <c r="J548" t="s">
        <v>1757</v>
      </c>
      <c r="K548" t="s">
        <v>1790</v>
      </c>
      <c r="L548" t="s">
        <v>1791</v>
      </c>
      <c r="M548" t="s">
        <v>2127</v>
      </c>
      <c r="N548" t="s">
        <v>781</v>
      </c>
      <c r="O548" t="s">
        <v>2128</v>
      </c>
      <c r="P548" t="s">
        <v>2122</v>
      </c>
      <c r="Q548" t="s">
        <v>370</v>
      </c>
    </row>
    <row r="549" spans="1:17" ht="14.25" customHeight="1" x14ac:dyDescent="0.2">
      <c r="A549" s="580" t="s">
        <v>167</v>
      </c>
      <c r="B549" s="110">
        <f t="shared" si="10"/>
        <v>1.6500000000000001</v>
      </c>
      <c r="C549" s="575">
        <v>46043</v>
      </c>
      <c r="D549" s="569">
        <v>46045</v>
      </c>
      <c r="E549" s="569">
        <v>46045</v>
      </c>
      <c r="F549" t="s">
        <v>1031</v>
      </c>
      <c r="G549" t="s">
        <v>370</v>
      </c>
      <c r="H549" t="s">
        <v>367</v>
      </c>
      <c r="I549" t="s">
        <v>368</v>
      </c>
      <c r="J549" t="s">
        <v>1757</v>
      </c>
      <c r="K549" t="s">
        <v>1831</v>
      </c>
      <c r="L549" t="s">
        <v>1832</v>
      </c>
      <c r="M549" t="s">
        <v>2129</v>
      </c>
      <c r="N549" t="s">
        <v>747</v>
      </c>
      <c r="O549" t="s">
        <v>2130</v>
      </c>
      <c r="P549" t="s">
        <v>2122</v>
      </c>
      <c r="Q549" t="s">
        <v>370</v>
      </c>
    </row>
    <row r="550" spans="1:17" ht="14.25" customHeight="1" x14ac:dyDescent="0.2">
      <c r="A550" s="580" t="s">
        <v>167</v>
      </c>
      <c r="B550" s="110">
        <f t="shared" si="10"/>
        <v>1.6600000000000001</v>
      </c>
      <c r="C550" s="575">
        <v>46043</v>
      </c>
      <c r="D550" s="569">
        <v>46045</v>
      </c>
      <c r="E550" s="569">
        <v>46045</v>
      </c>
      <c r="F550" t="s">
        <v>962</v>
      </c>
      <c r="G550" t="s">
        <v>370</v>
      </c>
      <c r="H550" t="s">
        <v>367</v>
      </c>
      <c r="I550" t="s">
        <v>368</v>
      </c>
      <c r="J550" t="s">
        <v>1757</v>
      </c>
      <c r="K550" t="s">
        <v>1790</v>
      </c>
      <c r="L550" t="s">
        <v>1791</v>
      </c>
      <c r="M550" t="s">
        <v>2131</v>
      </c>
      <c r="N550" t="s">
        <v>741</v>
      </c>
      <c r="O550" t="s">
        <v>2132</v>
      </c>
      <c r="P550" t="s">
        <v>2122</v>
      </c>
      <c r="Q550" t="s">
        <v>370</v>
      </c>
    </row>
    <row r="551" spans="1:17" ht="14.25" customHeight="1" x14ac:dyDescent="0.2">
      <c r="A551" s="580" t="s">
        <v>168</v>
      </c>
      <c r="B551" s="110">
        <f t="shared" si="10"/>
        <v>3.62</v>
      </c>
      <c r="C551" s="575">
        <v>46043</v>
      </c>
      <c r="D551" s="569">
        <v>46045</v>
      </c>
      <c r="E551" s="569">
        <v>46045</v>
      </c>
      <c r="F551" t="s">
        <v>2133</v>
      </c>
      <c r="G551" t="s">
        <v>2133</v>
      </c>
      <c r="H551" t="s">
        <v>367</v>
      </c>
      <c r="I551" t="s">
        <v>368</v>
      </c>
      <c r="J551" t="s">
        <v>1776</v>
      </c>
      <c r="K551" t="s">
        <v>1417</v>
      </c>
      <c r="L551" t="s">
        <v>1400</v>
      </c>
      <c r="M551" t="s">
        <v>2134</v>
      </c>
      <c r="N551" t="s">
        <v>369</v>
      </c>
      <c r="O551" t="s">
        <v>2135</v>
      </c>
      <c r="P551" t="s">
        <v>2122</v>
      </c>
      <c r="Q551" t="s">
        <v>370</v>
      </c>
    </row>
    <row r="552" spans="1:17" ht="14.25" customHeight="1" x14ac:dyDescent="0.2">
      <c r="A552" s="580" t="s">
        <v>168</v>
      </c>
      <c r="B552" s="110">
        <f t="shared" si="10"/>
        <v>3.6</v>
      </c>
      <c r="C552" s="575">
        <v>46043</v>
      </c>
      <c r="D552" s="569">
        <v>46045</v>
      </c>
      <c r="E552" s="569">
        <v>46045</v>
      </c>
      <c r="F552" t="s">
        <v>2136</v>
      </c>
      <c r="G552" t="s">
        <v>370</v>
      </c>
      <c r="H552" t="s">
        <v>367</v>
      </c>
      <c r="I552" t="s">
        <v>368</v>
      </c>
      <c r="J552" t="s">
        <v>1776</v>
      </c>
      <c r="K552" t="s">
        <v>1399</v>
      </c>
      <c r="L552" t="s">
        <v>1777</v>
      </c>
      <c r="M552" t="s">
        <v>2137</v>
      </c>
      <c r="N552" t="s">
        <v>747</v>
      </c>
      <c r="O552" t="s">
        <v>2138</v>
      </c>
      <c r="P552" t="s">
        <v>2122</v>
      </c>
      <c r="Q552" t="s">
        <v>370</v>
      </c>
    </row>
    <row r="553" spans="1:17" ht="14.25" customHeight="1" x14ac:dyDescent="0.2">
      <c r="A553" s="580" t="s">
        <v>167</v>
      </c>
      <c r="B553" s="110">
        <f t="shared" si="10"/>
        <v>1.6500000000000001</v>
      </c>
      <c r="C553" s="575">
        <v>46043</v>
      </c>
      <c r="D553" s="569">
        <v>46045</v>
      </c>
      <c r="E553" s="569">
        <v>46045</v>
      </c>
      <c r="F553" t="s">
        <v>1407</v>
      </c>
      <c r="G553" t="s">
        <v>370</v>
      </c>
      <c r="H553" t="s">
        <v>367</v>
      </c>
      <c r="I553" t="s">
        <v>368</v>
      </c>
      <c r="J553" t="s">
        <v>1757</v>
      </c>
      <c r="K553" t="s">
        <v>1831</v>
      </c>
      <c r="L553" t="s">
        <v>1832</v>
      </c>
      <c r="M553" t="s">
        <v>2139</v>
      </c>
      <c r="N553" t="s">
        <v>747</v>
      </c>
      <c r="O553" t="s">
        <v>2140</v>
      </c>
      <c r="P553" t="s">
        <v>2122</v>
      </c>
      <c r="Q553" t="s">
        <v>370</v>
      </c>
    </row>
    <row r="554" spans="1:17" ht="14.25" customHeight="1" x14ac:dyDescent="0.2">
      <c r="A554" s="580" t="s">
        <v>167</v>
      </c>
      <c r="B554" s="110">
        <f t="shared" si="10"/>
        <v>1.6600000000000001</v>
      </c>
      <c r="C554" s="575">
        <v>46043</v>
      </c>
      <c r="D554" s="569">
        <v>46045</v>
      </c>
      <c r="E554" s="569">
        <v>46045</v>
      </c>
      <c r="F554" t="s">
        <v>1173</v>
      </c>
      <c r="G554" t="s">
        <v>370</v>
      </c>
      <c r="H554" t="s">
        <v>367</v>
      </c>
      <c r="I554" t="s">
        <v>368</v>
      </c>
      <c r="J554" t="s">
        <v>1757</v>
      </c>
      <c r="K554" t="s">
        <v>1790</v>
      </c>
      <c r="L554" t="s">
        <v>1791</v>
      </c>
      <c r="M554" t="s">
        <v>2141</v>
      </c>
      <c r="N554" t="s">
        <v>741</v>
      </c>
      <c r="O554" t="s">
        <v>2142</v>
      </c>
      <c r="P554" t="s">
        <v>2122</v>
      </c>
      <c r="Q554" t="s">
        <v>370</v>
      </c>
    </row>
    <row r="555" spans="1:17" ht="14.25" customHeight="1" x14ac:dyDescent="0.2">
      <c r="A555" s="580" t="s">
        <v>167</v>
      </c>
      <c r="B555" s="110">
        <f t="shared" si="10"/>
        <v>1.6600000000000001</v>
      </c>
      <c r="C555" s="575">
        <v>46043</v>
      </c>
      <c r="D555" s="569">
        <v>46045</v>
      </c>
      <c r="E555" s="569">
        <v>46045</v>
      </c>
      <c r="F555" t="s">
        <v>936</v>
      </c>
      <c r="G555" t="s">
        <v>937</v>
      </c>
      <c r="H555" t="s">
        <v>367</v>
      </c>
      <c r="I555" t="s">
        <v>368</v>
      </c>
      <c r="J555" t="s">
        <v>1757</v>
      </c>
      <c r="K555" t="s">
        <v>1790</v>
      </c>
      <c r="L555" t="s">
        <v>1791</v>
      </c>
      <c r="M555" t="s">
        <v>2143</v>
      </c>
      <c r="N555" t="s">
        <v>369</v>
      </c>
      <c r="O555" t="s">
        <v>2144</v>
      </c>
      <c r="P555" t="s">
        <v>2122</v>
      </c>
      <c r="Q555" t="s">
        <v>370</v>
      </c>
    </row>
    <row r="556" spans="1:17" ht="14.25" customHeight="1" x14ac:dyDescent="0.2">
      <c r="A556" s="580" t="s">
        <v>167</v>
      </c>
      <c r="B556" s="110">
        <f t="shared" si="10"/>
        <v>1.6600000000000001</v>
      </c>
      <c r="C556" s="575">
        <v>46043</v>
      </c>
      <c r="D556" s="569">
        <v>46045</v>
      </c>
      <c r="E556" s="569">
        <v>46045</v>
      </c>
      <c r="F556" t="s">
        <v>1629</v>
      </c>
      <c r="G556" t="s">
        <v>370</v>
      </c>
      <c r="H556" t="s">
        <v>367</v>
      </c>
      <c r="I556" t="s">
        <v>368</v>
      </c>
      <c r="J556" t="s">
        <v>1757</v>
      </c>
      <c r="K556" t="s">
        <v>1790</v>
      </c>
      <c r="L556" t="s">
        <v>1791</v>
      </c>
      <c r="M556" t="s">
        <v>2145</v>
      </c>
      <c r="N556" t="s">
        <v>741</v>
      </c>
      <c r="O556" t="s">
        <v>2146</v>
      </c>
      <c r="P556" t="s">
        <v>2122</v>
      </c>
      <c r="Q556" t="s">
        <v>370</v>
      </c>
    </row>
    <row r="557" spans="1:17" ht="14.25" customHeight="1" x14ac:dyDescent="0.2">
      <c r="A557" s="580" t="s">
        <v>167</v>
      </c>
      <c r="B557" s="110">
        <f t="shared" si="10"/>
        <v>1.6600000000000001</v>
      </c>
      <c r="C557" s="575">
        <v>46043</v>
      </c>
      <c r="D557" s="569">
        <v>46045</v>
      </c>
      <c r="E557" s="569">
        <v>46045</v>
      </c>
      <c r="F557" t="s">
        <v>1062</v>
      </c>
      <c r="G557" t="s">
        <v>370</v>
      </c>
      <c r="H557" t="s">
        <v>367</v>
      </c>
      <c r="I557" t="s">
        <v>368</v>
      </c>
      <c r="J557" t="s">
        <v>1757</v>
      </c>
      <c r="K557" t="s">
        <v>1790</v>
      </c>
      <c r="L557" t="s">
        <v>1791</v>
      </c>
      <c r="M557" t="s">
        <v>2147</v>
      </c>
      <c r="N557" t="s">
        <v>741</v>
      </c>
      <c r="O557" t="s">
        <v>2148</v>
      </c>
      <c r="P557" t="s">
        <v>2122</v>
      </c>
      <c r="Q557" t="s">
        <v>370</v>
      </c>
    </row>
    <row r="558" spans="1:17" ht="14.25" customHeight="1" x14ac:dyDescent="0.2">
      <c r="A558" s="580" t="s">
        <v>168</v>
      </c>
      <c r="B558" s="110">
        <f t="shared" si="10"/>
        <v>3.6</v>
      </c>
      <c r="C558" s="575">
        <v>46044</v>
      </c>
      <c r="D558" s="569">
        <v>46048</v>
      </c>
      <c r="E558" s="569">
        <v>46048</v>
      </c>
      <c r="F558" t="s">
        <v>2149</v>
      </c>
      <c r="G558" t="s">
        <v>370</v>
      </c>
      <c r="H558" t="s">
        <v>367</v>
      </c>
      <c r="I558" t="s">
        <v>368</v>
      </c>
      <c r="J558" t="s">
        <v>1776</v>
      </c>
      <c r="K558" t="s">
        <v>1399</v>
      </c>
      <c r="L558" t="s">
        <v>1777</v>
      </c>
      <c r="M558" t="s">
        <v>2150</v>
      </c>
      <c r="N558" t="s">
        <v>747</v>
      </c>
      <c r="O558" t="s">
        <v>2151</v>
      </c>
      <c r="P558" t="s">
        <v>2152</v>
      </c>
      <c r="Q558" t="s">
        <v>370</v>
      </c>
    </row>
    <row r="559" spans="1:17" ht="14.25" customHeight="1" x14ac:dyDescent="0.2">
      <c r="A559" s="580" t="s">
        <v>167</v>
      </c>
      <c r="B559" s="110">
        <f t="shared" si="10"/>
        <v>1.6500000000000001</v>
      </c>
      <c r="C559" s="575">
        <v>46044</v>
      </c>
      <c r="D559" s="569">
        <v>46048</v>
      </c>
      <c r="E559" s="569">
        <v>46048</v>
      </c>
      <c r="F559" t="s">
        <v>1211</v>
      </c>
      <c r="G559" t="s">
        <v>370</v>
      </c>
      <c r="H559" t="s">
        <v>367</v>
      </c>
      <c r="I559" t="s">
        <v>368</v>
      </c>
      <c r="J559" t="s">
        <v>1757</v>
      </c>
      <c r="K559" t="s">
        <v>1831</v>
      </c>
      <c r="L559" t="s">
        <v>1832</v>
      </c>
      <c r="M559" t="s">
        <v>2153</v>
      </c>
      <c r="N559" t="s">
        <v>747</v>
      </c>
      <c r="O559" t="s">
        <v>2154</v>
      </c>
      <c r="P559" t="s">
        <v>2152</v>
      </c>
      <c r="Q559" t="s">
        <v>370</v>
      </c>
    </row>
    <row r="560" spans="1:17" ht="14.25" customHeight="1" x14ac:dyDescent="0.2">
      <c r="A560" s="580" t="s">
        <v>167</v>
      </c>
      <c r="B560" s="110">
        <f t="shared" si="10"/>
        <v>1.6400000000000001</v>
      </c>
      <c r="C560" s="575">
        <v>46044</v>
      </c>
      <c r="D560" s="569">
        <v>46048</v>
      </c>
      <c r="E560" s="569">
        <v>46048</v>
      </c>
      <c r="F560" t="s">
        <v>893</v>
      </c>
      <c r="G560" t="s">
        <v>370</v>
      </c>
      <c r="H560" t="s">
        <v>367</v>
      </c>
      <c r="I560" t="s">
        <v>368</v>
      </c>
      <c r="J560" t="s">
        <v>1757</v>
      </c>
      <c r="K560" t="s">
        <v>1758</v>
      </c>
      <c r="L560" t="s">
        <v>1759</v>
      </c>
      <c r="M560" t="s">
        <v>2155</v>
      </c>
      <c r="N560" t="s">
        <v>741</v>
      </c>
      <c r="O560" t="s">
        <v>2156</v>
      </c>
      <c r="P560" t="s">
        <v>2152</v>
      </c>
      <c r="Q560" t="s">
        <v>370</v>
      </c>
    </row>
    <row r="561" spans="1:17" ht="14.25" customHeight="1" x14ac:dyDescent="0.2">
      <c r="A561" s="580" t="s">
        <v>167</v>
      </c>
      <c r="B561" s="110">
        <f t="shared" si="10"/>
        <v>1.6600000000000001</v>
      </c>
      <c r="C561" s="575">
        <v>46044</v>
      </c>
      <c r="D561" s="569">
        <v>46048</v>
      </c>
      <c r="E561" s="569">
        <v>46048</v>
      </c>
      <c r="F561" t="s">
        <v>2157</v>
      </c>
      <c r="G561" t="s">
        <v>2158</v>
      </c>
      <c r="H561" t="s">
        <v>367</v>
      </c>
      <c r="I561" t="s">
        <v>368</v>
      </c>
      <c r="J561" t="s">
        <v>1757</v>
      </c>
      <c r="K561" t="s">
        <v>1790</v>
      </c>
      <c r="L561" t="s">
        <v>1791</v>
      </c>
      <c r="M561" t="s">
        <v>2159</v>
      </c>
      <c r="N561" t="s">
        <v>369</v>
      </c>
      <c r="O561" t="s">
        <v>2160</v>
      </c>
      <c r="P561" t="s">
        <v>2152</v>
      </c>
      <c r="Q561" t="s">
        <v>370</v>
      </c>
    </row>
    <row r="562" spans="1:17" ht="14.25" customHeight="1" x14ac:dyDescent="0.2">
      <c r="A562" s="580" t="s">
        <v>167</v>
      </c>
      <c r="B562" s="110">
        <f t="shared" si="10"/>
        <v>1.6600000000000001</v>
      </c>
      <c r="C562" s="575">
        <v>46044</v>
      </c>
      <c r="D562" s="569">
        <v>46048</v>
      </c>
      <c r="E562" s="569">
        <v>46048</v>
      </c>
      <c r="F562" t="s">
        <v>971</v>
      </c>
      <c r="G562" t="s">
        <v>370</v>
      </c>
      <c r="H562" t="s">
        <v>367</v>
      </c>
      <c r="I562" t="s">
        <v>368</v>
      </c>
      <c r="J562" t="s">
        <v>1757</v>
      </c>
      <c r="K562" t="s">
        <v>1790</v>
      </c>
      <c r="L562" t="s">
        <v>1791</v>
      </c>
      <c r="M562" t="s">
        <v>2161</v>
      </c>
      <c r="N562" t="s">
        <v>741</v>
      </c>
      <c r="O562" t="s">
        <v>2162</v>
      </c>
      <c r="P562" t="s">
        <v>2152</v>
      </c>
      <c r="Q562" t="s">
        <v>370</v>
      </c>
    </row>
    <row r="563" spans="1:17" ht="14.25" customHeight="1" x14ac:dyDescent="0.2">
      <c r="A563" s="580" t="s">
        <v>168</v>
      </c>
      <c r="B563" s="110">
        <f t="shared" si="10"/>
        <v>3.62</v>
      </c>
      <c r="C563" s="575">
        <v>46044</v>
      </c>
      <c r="D563" s="569">
        <v>46048</v>
      </c>
      <c r="E563" s="569">
        <v>46048</v>
      </c>
      <c r="F563" t="s">
        <v>1214</v>
      </c>
      <c r="G563" t="s">
        <v>370</v>
      </c>
      <c r="H563" t="s">
        <v>367</v>
      </c>
      <c r="I563" t="s">
        <v>368</v>
      </c>
      <c r="J563" t="s">
        <v>1776</v>
      </c>
      <c r="K563" t="s">
        <v>1417</v>
      </c>
      <c r="L563" t="s">
        <v>1400</v>
      </c>
      <c r="M563" t="s">
        <v>2163</v>
      </c>
      <c r="N563" t="s">
        <v>741</v>
      </c>
      <c r="O563" t="s">
        <v>2164</v>
      </c>
      <c r="P563" t="s">
        <v>2152</v>
      </c>
      <c r="Q563" t="s">
        <v>370</v>
      </c>
    </row>
    <row r="564" spans="1:17" ht="14.25" customHeight="1" x14ac:dyDescent="0.2">
      <c r="A564" s="580" t="s">
        <v>167</v>
      </c>
      <c r="B564" s="110">
        <f t="shared" si="10"/>
        <v>1.6400000000000001</v>
      </c>
      <c r="C564" s="575">
        <v>46044</v>
      </c>
      <c r="D564" s="569">
        <v>46048</v>
      </c>
      <c r="E564" s="569">
        <v>46048</v>
      </c>
      <c r="F564" t="s">
        <v>2165</v>
      </c>
      <c r="G564" t="s">
        <v>2165</v>
      </c>
      <c r="H564" t="s">
        <v>367</v>
      </c>
      <c r="I564" t="s">
        <v>368</v>
      </c>
      <c r="J564" t="s">
        <v>1757</v>
      </c>
      <c r="K564" t="s">
        <v>1758</v>
      </c>
      <c r="L564" t="s">
        <v>1759</v>
      </c>
      <c r="M564" t="s">
        <v>2166</v>
      </c>
      <c r="N564" t="s">
        <v>369</v>
      </c>
      <c r="O564" t="s">
        <v>2167</v>
      </c>
      <c r="P564" t="s">
        <v>2152</v>
      </c>
      <c r="Q564" t="s">
        <v>370</v>
      </c>
    </row>
    <row r="565" spans="1:17" ht="14.25" customHeight="1" x14ac:dyDescent="0.2">
      <c r="A565" s="580" t="s">
        <v>167</v>
      </c>
      <c r="B565" s="110">
        <f t="shared" si="10"/>
        <v>1.6600000000000001</v>
      </c>
      <c r="C565" s="575">
        <v>46044</v>
      </c>
      <c r="D565" s="569">
        <v>46048</v>
      </c>
      <c r="E565" s="569">
        <v>46048</v>
      </c>
      <c r="F565" t="s">
        <v>1590</v>
      </c>
      <c r="G565" t="s">
        <v>370</v>
      </c>
      <c r="H565" t="s">
        <v>367</v>
      </c>
      <c r="I565" t="s">
        <v>368</v>
      </c>
      <c r="J565" t="s">
        <v>1757</v>
      </c>
      <c r="K565" t="s">
        <v>1790</v>
      </c>
      <c r="L565" t="s">
        <v>1791</v>
      </c>
      <c r="M565" t="s">
        <v>2168</v>
      </c>
      <c r="N565" t="s">
        <v>741</v>
      </c>
      <c r="O565" t="s">
        <v>2169</v>
      </c>
      <c r="P565" t="s">
        <v>2152</v>
      </c>
      <c r="Q565" t="s">
        <v>370</v>
      </c>
    </row>
    <row r="566" spans="1:17" ht="14.25" customHeight="1" x14ac:dyDescent="0.2">
      <c r="A566" s="580" t="s">
        <v>167</v>
      </c>
      <c r="B566" s="110">
        <f t="shared" si="10"/>
        <v>1.6500000000000001</v>
      </c>
      <c r="C566" s="575">
        <v>46044</v>
      </c>
      <c r="D566" s="569">
        <v>46048</v>
      </c>
      <c r="E566" s="569">
        <v>46048</v>
      </c>
      <c r="F566" t="s">
        <v>2170</v>
      </c>
      <c r="G566" t="s">
        <v>370</v>
      </c>
      <c r="H566" t="s">
        <v>367</v>
      </c>
      <c r="I566" t="s">
        <v>368</v>
      </c>
      <c r="J566" t="s">
        <v>1757</v>
      </c>
      <c r="K566" t="s">
        <v>1831</v>
      </c>
      <c r="L566" t="s">
        <v>1832</v>
      </c>
      <c r="M566" t="s">
        <v>2171</v>
      </c>
      <c r="N566" t="s">
        <v>747</v>
      </c>
      <c r="O566" t="s">
        <v>2172</v>
      </c>
      <c r="P566" t="s">
        <v>2152</v>
      </c>
      <c r="Q566" t="s">
        <v>370</v>
      </c>
    </row>
    <row r="567" spans="1:17" ht="14.25" customHeight="1" x14ac:dyDescent="0.2">
      <c r="A567" s="580" t="s">
        <v>167</v>
      </c>
      <c r="B567" s="110">
        <f t="shared" si="10"/>
        <v>1.6500000000000001</v>
      </c>
      <c r="C567" s="575">
        <v>46044</v>
      </c>
      <c r="D567" s="569">
        <v>46048</v>
      </c>
      <c r="E567" s="569">
        <v>46048</v>
      </c>
      <c r="F567" t="s">
        <v>1229</v>
      </c>
      <c r="G567" t="s">
        <v>370</v>
      </c>
      <c r="H567" t="s">
        <v>367</v>
      </c>
      <c r="I567" t="s">
        <v>368</v>
      </c>
      <c r="J567" t="s">
        <v>1757</v>
      </c>
      <c r="K567" t="s">
        <v>1831</v>
      </c>
      <c r="L567" t="s">
        <v>1832</v>
      </c>
      <c r="M567" t="s">
        <v>2173</v>
      </c>
      <c r="N567" t="s">
        <v>747</v>
      </c>
      <c r="O567" t="s">
        <v>2174</v>
      </c>
      <c r="P567" t="s">
        <v>2152</v>
      </c>
      <c r="Q567" t="s">
        <v>370</v>
      </c>
    </row>
    <row r="568" spans="1:17" ht="14.25" customHeight="1" x14ac:dyDescent="0.2">
      <c r="A568" s="580" t="s">
        <v>167</v>
      </c>
      <c r="B568" s="110">
        <f t="shared" si="10"/>
        <v>1.6500000000000001</v>
      </c>
      <c r="C568" s="575">
        <v>46044</v>
      </c>
      <c r="D568" s="569">
        <v>46048</v>
      </c>
      <c r="E568" s="569">
        <v>46048</v>
      </c>
      <c r="F568" t="s">
        <v>810</v>
      </c>
      <c r="G568" t="s">
        <v>370</v>
      </c>
      <c r="H568" t="s">
        <v>367</v>
      </c>
      <c r="I568" t="s">
        <v>368</v>
      </c>
      <c r="J568" t="s">
        <v>1757</v>
      </c>
      <c r="K568" t="s">
        <v>1831</v>
      </c>
      <c r="L568" t="s">
        <v>1832</v>
      </c>
      <c r="M568" t="s">
        <v>2175</v>
      </c>
      <c r="N568" t="s">
        <v>747</v>
      </c>
      <c r="O568" t="s">
        <v>2176</v>
      </c>
      <c r="P568" t="s">
        <v>2152</v>
      </c>
      <c r="Q568" t="s">
        <v>370</v>
      </c>
    </row>
    <row r="569" spans="1:17" ht="14.25" customHeight="1" x14ac:dyDescent="0.2">
      <c r="A569" s="580" t="s">
        <v>168</v>
      </c>
      <c r="B569" s="110">
        <f t="shared" si="10"/>
        <v>3.62</v>
      </c>
      <c r="C569" s="575">
        <v>46044</v>
      </c>
      <c r="D569" s="569">
        <v>46048</v>
      </c>
      <c r="E569" s="569">
        <v>46048</v>
      </c>
      <c r="F569" t="s">
        <v>921</v>
      </c>
      <c r="G569" t="s">
        <v>370</v>
      </c>
      <c r="H569" t="s">
        <v>367</v>
      </c>
      <c r="I569" t="s">
        <v>368</v>
      </c>
      <c r="J569" t="s">
        <v>1776</v>
      </c>
      <c r="K569" t="s">
        <v>1417</v>
      </c>
      <c r="L569" t="s">
        <v>1400</v>
      </c>
      <c r="M569" t="s">
        <v>2177</v>
      </c>
      <c r="N569" t="s">
        <v>741</v>
      </c>
      <c r="O569" t="s">
        <v>2178</v>
      </c>
      <c r="P569" t="s">
        <v>2152</v>
      </c>
      <c r="Q569" t="s">
        <v>370</v>
      </c>
    </row>
    <row r="570" spans="1:17" ht="14.25" customHeight="1" x14ac:dyDescent="0.2">
      <c r="A570" s="580" t="s">
        <v>115</v>
      </c>
      <c r="B570" s="110">
        <f t="shared" si="10"/>
        <v>3.62</v>
      </c>
      <c r="C570" s="575">
        <v>46046</v>
      </c>
      <c r="D570" s="569">
        <v>46049</v>
      </c>
      <c r="E570" s="569">
        <v>46049</v>
      </c>
      <c r="F570" s="580" t="s">
        <v>2179</v>
      </c>
      <c r="G570" t="s">
        <v>2179</v>
      </c>
      <c r="H570" t="s">
        <v>367</v>
      </c>
      <c r="I570" t="s">
        <v>368</v>
      </c>
      <c r="J570" t="s">
        <v>1776</v>
      </c>
      <c r="K570" t="s">
        <v>1417</v>
      </c>
      <c r="L570" t="s">
        <v>1400</v>
      </c>
      <c r="M570" t="s">
        <v>2180</v>
      </c>
      <c r="N570" t="s">
        <v>369</v>
      </c>
      <c r="O570" t="s">
        <v>2181</v>
      </c>
      <c r="P570" t="s">
        <v>2182</v>
      </c>
      <c r="Q570" t="s">
        <v>370</v>
      </c>
    </row>
    <row r="571" spans="1:17" ht="14.25" customHeight="1" x14ac:dyDescent="0.2">
      <c r="A571" s="580" t="s">
        <v>115</v>
      </c>
      <c r="B571" s="110">
        <f t="shared" si="10"/>
        <v>3.62</v>
      </c>
      <c r="C571" s="575">
        <v>46046</v>
      </c>
      <c r="D571" s="569">
        <v>46049</v>
      </c>
      <c r="E571" s="569">
        <v>46049</v>
      </c>
      <c r="F571" t="s">
        <v>1750</v>
      </c>
      <c r="G571" t="s">
        <v>370</v>
      </c>
      <c r="H571" t="s">
        <v>367</v>
      </c>
      <c r="I571" t="s">
        <v>368</v>
      </c>
      <c r="J571" t="s">
        <v>1776</v>
      </c>
      <c r="K571" t="s">
        <v>1417</v>
      </c>
      <c r="L571" t="s">
        <v>1400</v>
      </c>
      <c r="M571" t="s">
        <v>2183</v>
      </c>
      <c r="N571" t="s">
        <v>741</v>
      </c>
      <c r="O571" t="s">
        <v>2184</v>
      </c>
      <c r="P571" t="s">
        <v>2182</v>
      </c>
      <c r="Q571" t="s">
        <v>370</v>
      </c>
    </row>
    <row r="572" spans="1:17" ht="14.25" customHeight="1" x14ac:dyDescent="0.2">
      <c r="A572" s="580" t="s">
        <v>115</v>
      </c>
      <c r="B572" s="110">
        <f t="shared" si="10"/>
        <v>3.62</v>
      </c>
      <c r="C572" s="575">
        <v>46046</v>
      </c>
      <c r="D572" s="569">
        <v>46049</v>
      </c>
      <c r="E572" s="569">
        <v>46049</v>
      </c>
      <c r="F572" t="s">
        <v>2185</v>
      </c>
      <c r="G572" t="s">
        <v>370</v>
      </c>
      <c r="H572" t="s">
        <v>367</v>
      </c>
      <c r="I572" t="s">
        <v>368</v>
      </c>
      <c r="J572" t="s">
        <v>1776</v>
      </c>
      <c r="K572" t="s">
        <v>1417</v>
      </c>
      <c r="L572" t="s">
        <v>1400</v>
      </c>
      <c r="M572" t="s">
        <v>2186</v>
      </c>
      <c r="N572" t="s">
        <v>741</v>
      </c>
      <c r="O572" t="s">
        <v>2187</v>
      </c>
      <c r="P572" t="s">
        <v>2182</v>
      </c>
      <c r="Q572" t="s">
        <v>370</v>
      </c>
    </row>
    <row r="573" spans="1:17" ht="14.25" customHeight="1" x14ac:dyDescent="0.2">
      <c r="A573" s="580" t="s">
        <v>115</v>
      </c>
      <c r="B573" s="110">
        <f t="shared" si="10"/>
        <v>3.62</v>
      </c>
      <c r="C573" s="575">
        <v>46046</v>
      </c>
      <c r="D573" s="569">
        <v>46049</v>
      </c>
      <c r="E573" s="569">
        <v>46049</v>
      </c>
      <c r="F573" t="s">
        <v>868</v>
      </c>
      <c r="G573" t="s">
        <v>370</v>
      </c>
      <c r="H573" t="s">
        <v>367</v>
      </c>
      <c r="I573" t="s">
        <v>368</v>
      </c>
      <c r="J573" t="s">
        <v>1776</v>
      </c>
      <c r="K573" t="s">
        <v>1417</v>
      </c>
      <c r="L573" t="s">
        <v>1400</v>
      </c>
      <c r="M573" t="s">
        <v>2188</v>
      </c>
      <c r="N573" t="s">
        <v>741</v>
      </c>
      <c r="O573" t="s">
        <v>2189</v>
      </c>
      <c r="P573" t="s">
        <v>2182</v>
      </c>
      <c r="Q573" t="s">
        <v>370</v>
      </c>
    </row>
    <row r="574" spans="1:17" ht="14.25" customHeight="1" x14ac:dyDescent="0.2">
      <c r="A574" s="580" t="s">
        <v>115</v>
      </c>
      <c r="B574" s="110">
        <f t="shared" si="10"/>
        <v>3.62</v>
      </c>
      <c r="C574" s="575">
        <v>46046</v>
      </c>
      <c r="D574" s="569">
        <v>46049</v>
      </c>
      <c r="E574" s="569">
        <v>46049</v>
      </c>
      <c r="F574" t="s">
        <v>1642</v>
      </c>
      <c r="G574" t="s">
        <v>370</v>
      </c>
      <c r="H574" t="s">
        <v>367</v>
      </c>
      <c r="I574" t="s">
        <v>368</v>
      </c>
      <c r="J574" t="s">
        <v>1776</v>
      </c>
      <c r="K574" t="s">
        <v>1417</v>
      </c>
      <c r="L574" t="s">
        <v>1400</v>
      </c>
      <c r="M574" t="s">
        <v>2190</v>
      </c>
      <c r="N574" t="s">
        <v>741</v>
      </c>
      <c r="O574" t="s">
        <v>2191</v>
      </c>
      <c r="P574" t="s">
        <v>2182</v>
      </c>
      <c r="Q574" t="s">
        <v>370</v>
      </c>
    </row>
    <row r="575" spans="1:17" ht="14.25" customHeight="1" x14ac:dyDescent="0.2">
      <c r="A575" s="580" t="s">
        <v>115</v>
      </c>
      <c r="B575" s="110">
        <f t="shared" si="10"/>
        <v>3.62</v>
      </c>
      <c r="C575" s="575">
        <v>46046</v>
      </c>
      <c r="D575" s="569">
        <v>46049</v>
      </c>
      <c r="E575" s="569">
        <v>46049</v>
      </c>
      <c r="F575" t="s">
        <v>952</v>
      </c>
      <c r="G575" t="s">
        <v>952</v>
      </c>
      <c r="H575" t="s">
        <v>367</v>
      </c>
      <c r="I575" t="s">
        <v>368</v>
      </c>
      <c r="J575" t="s">
        <v>1776</v>
      </c>
      <c r="K575" t="s">
        <v>1417</v>
      </c>
      <c r="L575" t="s">
        <v>1400</v>
      </c>
      <c r="M575" t="s">
        <v>2192</v>
      </c>
      <c r="N575" t="s">
        <v>369</v>
      </c>
      <c r="O575" t="s">
        <v>2193</v>
      </c>
      <c r="P575" t="s">
        <v>2182</v>
      </c>
      <c r="Q575" t="s">
        <v>370</v>
      </c>
    </row>
    <row r="576" spans="1:17" ht="14.25" customHeight="1" x14ac:dyDescent="0.2">
      <c r="A576" s="580" t="s">
        <v>115</v>
      </c>
      <c r="B576" s="110">
        <f t="shared" si="10"/>
        <v>3.6</v>
      </c>
      <c r="C576" s="575">
        <v>46046</v>
      </c>
      <c r="D576" s="569">
        <v>46049</v>
      </c>
      <c r="E576" s="569">
        <v>46049</v>
      </c>
      <c r="F576" t="s">
        <v>1298</v>
      </c>
      <c r="G576" t="s">
        <v>370</v>
      </c>
      <c r="H576" t="s">
        <v>367</v>
      </c>
      <c r="I576" t="s">
        <v>368</v>
      </c>
      <c r="J576" t="s">
        <v>1776</v>
      </c>
      <c r="K576" t="s">
        <v>1399</v>
      </c>
      <c r="L576" t="s">
        <v>1777</v>
      </c>
      <c r="M576" t="s">
        <v>2194</v>
      </c>
      <c r="N576" t="s">
        <v>747</v>
      </c>
      <c r="O576" t="s">
        <v>2195</v>
      </c>
      <c r="P576" t="s">
        <v>2182</v>
      </c>
      <c r="Q576" t="s">
        <v>370</v>
      </c>
    </row>
    <row r="577" spans="1:17" ht="14.25" customHeight="1" x14ac:dyDescent="0.2">
      <c r="A577" s="580" t="s">
        <v>115</v>
      </c>
      <c r="B577" s="110">
        <f t="shared" si="10"/>
        <v>3.6</v>
      </c>
      <c r="C577" s="575">
        <v>46046</v>
      </c>
      <c r="D577" s="569">
        <v>46049</v>
      </c>
      <c r="E577" s="569">
        <v>46049</v>
      </c>
      <c r="F577" t="s">
        <v>2196</v>
      </c>
      <c r="G577" t="s">
        <v>370</v>
      </c>
      <c r="H577" t="s">
        <v>367</v>
      </c>
      <c r="I577" t="s">
        <v>368</v>
      </c>
      <c r="J577" t="s">
        <v>1776</v>
      </c>
      <c r="K577" t="s">
        <v>1399</v>
      </c>
      <c r="L577" t="s">
        <v>1777</v>
      </c>
      <c r="M577" t="s">
        <v>2197</v>
      </c>
      <c r="N577" t="s">
        <v>747</v>
      </c>
      <c r="O577" t="s">
        <v>2198</v>
      </c>
      <c r="P577" t="s">
        <v>2182</v>
      </c>
      <c r="Q577" t="s">
        <v>370</v>
      </c>
    </row>
    <row r="578" spans="1:17" ht="14.25" customHeight="1" x14ac:dyDescent="0.2">
      <c r="A578" s="584" t="s">
        <v>2548</v>
      </c>
      <c r="B578" s="110">
        <f t="shared" si="10"/>
        <v>2.62</v>
      </c>
      <c r="C578" s="575">
        <v>46048</v>
      </c>
      <c r="D578" s="569">
        <v>46050</v>
      </c>
      <c r="E578" s="569">
        <v>46050</v>
      </c>
      <c r="F578" t="s">
        <v>2535</v>
      </c>
      <c r="G578" t="s">
        <v>370</v>
      </c>
      <c r="H578" t="s">
        <v>367</v>
      </c>
      <c r="I578" t="s">
        <v>368</v>
      </c>
      <c r="J578" t="s">
        <v>1580</v>
      </c>
      <c r="K578" t="s">
        <v>1581</v>
      </c>
      <c r="L578" t="s">
        <v>1582</v>
      </c>
      <c r="M578" t="s">
        <v>2536</v>
      </c>
      <c r="N578" t="s">
        <v>747</v>
      </c>
      <c r="O578" t="s">
        <v>2537</v>
      </c>
      <c r="P578" t="s">
        <v>2538</v>
      </c>
      <c r="Q578" t="s">
        <v>370</v>
      </c>
    </row>
    <row r="579" spans="1:17" ht="14.25" customHeight="1" x14ac:dyDescent="0.2">
      <c r="A579" s="584" t="s">
        <v>2548</v>
      </c>
      <c r="B579" s="110">
        <f t="shared" si="10"/>
        <v>2.62</v>
      </c>
      <c r="C579" s="575">
        <v>46048</v>
      </c>
      <c r="D579" s="569">
        <v>46050</v>
      </c>
      <c r="E579" s="569">
        <v>46050</v>
      </c>
      <c r="F579" t="s">
        <v>1397</v>
      </c>
      <c r="G579" t="s">
        <v>370</v>
      </c>
      <c r="H579" t="s">
        <v>367</v>
      </c>
      <c r="I579" t="s">
        <v>368</v>
      </c>
      <c r="J579" t="s">
        <v>1580</v>
      </c>
      <c r="K579" t="s">
        <v>1581</v>
      </c>
      <c r="L579" t="s">
        <v>1582</v>
      </c>
      <c r="M579" t="s">
        <v>2539</v>
      </c>
      <c r="N579" t="s">
        <v>747</v>
      </c>
      <c r="O579" t="s">
        <v>2540</v>
      </c>
      <c r="P579" t="s">
        <v>2538</v>
      </c>
      <c r="Q579" t="s">
        <v>370</v>
      </c>
    </row>
    <row r="580" spans="1:17" ht="14.25" customHeight="1" x14ac:dyDescent="0.2">
      <c r="A580" s="584" t="s">
        <v>90</v>
      </c>
      <c r="B580" s="110">
        <f t="shared" si="10"/>
        <v>22.12</v>
      </c>
      <c r="C580" s="575">
        <v>46048</v>
      </c>
      <c r="D580" s="569">
        <v>46050</v>
      </c>
      <c r="E580" s="569">
        <v>46050</v>
      </c>
      <c r="F580" t="s">
        <v>2541</v>
      </c>
      <c r="G580" t="s">
        <v>370</v>
      </c>
      <c r="H580" t="s">
        <v>367</v>
      </c>
      <c r="I580" t="s">
        <v>368</v>
      </c>
      <c r="J580" t="s">
        <v>2542</v>
      </c>
      <c r="K580" t="s">
        <v>2325</v>
      </c>
      <c r="L580" t="s">
        <v>2543</v>
      </c>
      <c r="M580" t="s">
        <v>2544</v>
      </c>
      <c r="N580" t="s">
        <v>747</v>
      </c>
      <c r="O580" t="s">
        <v>2545</v>
      </c>
      <c r="P580" t="s">
        <v>2538</v>
      </c>
      <c r="Q580" t="s">
        <v>370</v>
      </c>
    </row>
    <row r="581" spans="1:17" ht="14.25" customHeight="1" x14ac:dyDescent="0.2">
      <c r="A581" s="584" t="s">
        <v>2548</v>
      </c>
      <c r="B581" s="110">
        <f t="shared" si="10"/>
        <v>2.62</v>
      </c>
      <c r="C581" s="575">
        <v>46048</v>
      </c>
      <c r="D581" s="569">
        <v>46050</v>
      </c>
      <c r="E581" s="569">
        <v>46050</v>
      </c>
      <c r="F581" t="s">
        <v>903</v>
      </c>
      <c r="G581" t="s">
        <v>370</v>
      </c>
      <c r="H581" t="s">
        <v>367</v>
      </c>
      <c r="I581" t="s">
        <v>368</v>
      </c>
      <c r="J581" t="s">
        <v>1580</v>
      </c>
      <c r="K581" t="s">
        <v>1581</v>
      </c>
      <c r="L581" t="s">
        <v>1582</v>
      </c>
      <c r="M581" t="s">
        <v>2546</v>
      </c>
      <c r="N581" t="s">
        <v>747</v>
      </c>
      <c r="O581" t="s">
        <v>2547</v>
      </c>
      <c r="P581" t="s">
        <v>2538</v>
      </c>
      <c r="Q581" t="s">
        <v>370</v>
      </c>
    </row>
    <row r="582" spans="1:17" ht="14.25" customHeight="1" x14ac:dyDescent="0.2">
      <c r="A582" s="584" t="s">
        <v>2548</v>
      </c>
      <c r="B582" s="110">
        <f t="shared" si="10"/>
        <v>2.64</v>
      </c>
      <c r="C582" s="575">
        <v>46049</v>
      </c>
      <c r="D582" s="569">
        <v>46051</v>
      </c>
      <c r="E582" s="569">
        <v>46051</v>
      </c>
      <c r="F582" t="s">
        <v>2488</v>
      </c>
      <c r="G582" t="s">
        <v>370</v>
      </c>
      <c r="H582" t="s">
        <v>367</v>
      </c>
      <c r="I582" t="s">
        <v>368</v>
      </c>
      <c r="J582" t="s">
        <v>1580</v>
      </c>
      <c r="K582" t="s">
        <v>1586</v>
      </c>
      <c r="L582" t="s">
        <v>1587</v>
      </c>
      <c r="M582" t="s">
        <v>2549</v>
      </c>
      <c r="N582" t="s">
        <v>741</v>
      </c>
      <c r="O582" t="s">
        <v>2550</v>
      </c>
      <c r="P582" t="s">
        <v>2551</v>
      </c>
      <c r="Q582" t="s">
        <v>370</v>
      </c>
    </row>
    <row r="583" spans="1:17" ht="14.25" customHeight="1" x14ac:dyDescent="0.2">
      <c r="A583" s="584" t="s">
        <v>2548</v>
      </c>
      <c r="B583" s="110">
        <f t="shared" si="10"/>
        <v>2.62</v>
      </c>
      <c r="C583" s="575">
        <v>46049</v>
      </c>
      <c r="D583" s="569">
        <v>46051</v>
      </c>
      <c r="E583" s="569">
        <v>46051</v>
      </c>
      <c r="F583" t="s">
        <v>2111</v>
      </c>
      <c r="G583" t="s">
        <v>370</v>
      </c>
      <c r="H583" t="s">
        <v>367</v>
      </c>
      <c r="I583" t="s">
        <v>368</v>
      </c>
      <c r="J583" t="s">
        <v>1580</v>
      </c>
      <c r="K583" t="s">
        <v>1581</v>
      </c>
      <c r="L583" t="s">
        <v>1582</v>
      </c>
      <c r="M583" t="s">
        <v>2552</v>
      </c>
      <c r="N583" t="s">
        <v>747</v>
      </c>
      <c r="O583" t="s">
        <v>2553</v>
      </c>
      <c r="P583" t="s">
        <v>2551</v>
      </c>
      <c r="Q583" t="s">
        <v>370</v>
      </c>
    </row>
    <row r="584" spans="1:17" ht="14.25" customHeight="1" x14ac:dyDescent="0.2">
      <c r="A584" s="584" t="s">
        <v>115</v>
      </c>
      <c r="B584" s="110">
        <f t="shared" si="10"/>
        <v>3.62</v>
      </c>
      <c r="C584" s="575">
        <v>46050</v>
      </c>
      <c r="D584" s="569">
        <v>46052</v>
      </c>
      <c r="E584" s="569">
        <v>46052</v>
      </c>
      <c r="F584" t="s">
        <v>2554</v>
      </c>
      <c r="G584" t="s">
        <v>370</v>
      </c>
      <c r="H584" t="s">
        <v>367</v>
      </c>
      <c r="I584" t="s">
        <v>368</v>
      </c>
      <c r="J584" t="s">
        <v>1776</v>
      </c>
      <c r="K584" t="s">
        <v>1417</v>
      </c>
      <c r="L584" t="s">
        <v>1400</v>
      </c>
      <c r="M584" t="s">
        <v>2555</v>
      </c>
      <c r="N584" t="s">
        <v>741</v>
      </c>
      <c r="O584" t="s">
        <v>2556</v>
      </c>
      <c r="P584" t="s">
        <v>2557</v>
      </c>
      <c r="Q584" t="s">
        <v>370</v>
      </c>
    </row>
    <row r="585" spans="1:17" ht="14.25" customHeight="1" x14ac:dyDescent="0.2">
      <c r="A585" s="584" t="s">
        <v>2548</v>
      </c>
      <c r="B585" s="110">
        <f t="shared" si="10"/>
        <v>2.64</v>
      </c>
      <c r="C585" s="575">
        <v>46051</v>
      </c>
      <c r="D585" s="569">
        <v>46055</v>
      </c>
      <c r="E585" s="569">
        <v>46055</v>
      </c>
      <c r="F585" t="s">
        <v>2558</v>
      </c>
      <c r="G585" t="s">
        <v>2559</v>
      </c>
      <c r="H585" t="s">
        <v>367</v>
      </c>
      <c r="I585" t="s">
        <v>368</v>
      </c>
      <c r="J585" t="s">
        <v>1580</v>
      </c>
      <c r="K585" t="s">
        <v>1586</v>
      </c>
      <c r="L585" t="s">
        <v>1587</v>
      </c>
      <c r="M585" t="s">
        <v>2560</v>
      </c>
      <c r="N585" t="s">
        <v>369</v>
      </c>
      <c r="O585" t="s">
        <v>2561</v>
      </c>
      <c r="P585" t="s">
        <v>2562</v>
      </c>
      <c r="Q585" t="s">
        <v>370</v>
      </c>
    </row>
    <row r="586" spans="1:17" ht="14.25" customHeight="1" x14ac:dyDescent="0.2">
      <c r="A586" s="584" t="s">
        <v>2548</v>
      </c>
      <c r="B586" s="110">
        <f t="shared" si="10"/>
        <v>2.64</v>
      </c>
      <c r="C586" s="575">
        <v>46051</v>
      </c>
      <c r="D586" s="569">
        <v>46055</v>
      </c>
      <c r="E586" s="569">
        <v>46055</v>
      </c>
      <c r="F586" t="s">
        <v>2563</v>
      </c>
      <c r="G586" t="s">
        <v>370</v>
      </c>
      <c r="H586" t="s">
        <v>367</v>
      </c>
      <c r="I586" t="s">
        <v>368</v>
      </c>
      <c r="J586" t="s">
        <v>1580</v>
      </c>
      <c r="K586" t="s">
        <v>1586</v>
      </c>
      <c r="L586" t="s">
        <v>1587</v>
      </c>
      <c r="M586" t="s">
        <v>2564</v>
      </c>
      <c r="N586" t="s">
        <v>741</v>
      </c>
      <c r="O586" s="574" t="s">
        <v>2565</v>
      </c>
      <c r="P586" t="s">
        <v>2562</v>
      </c>
      <c r="Q586" t="s">
        <v>370</v>
      </c>
    </row>
    <row r="587" spans="1:17" ht="14.25" customHeight="1" x14ac:dyDescent="0.2">
      <c r="A587" s="584" t="s">
        <v>2548</v>
      </c>
      <c r="B587" s="110">
        <f t="shared" si="10"/>
        <v>2.64</v>
      </c>
      <c r="C587" s="575">
        <v>46051</v>
      </c>
      <c r="D587" s="569">
        <v>46055</v>
      </c>
      <c r="E587" s="569">
        <v>46055</v>
      </c>
      <c r="F587" t="s">
        <v>2566</v>
      </c>
      <c r="G587" t="s">
        <v>370</v>
      </c>
      <c r="H587" t="s">
        <v>367</v>
      </c>
      <c r="I587" t="s">
        <v>368</v>
      </c>
      <c r="J587" t="s">
        <v>1580</v>
      </c>
      <c r="K587" t="s">
        <v>1586</v>
      </c>
      <c r="L587" t="s">
        <v>1587</v>
      </c>
      <c r="M587" t="s">
        <v>2567</v>
      </c>
      <c r="N587" t="s">
        <v>741</v>
      </c>
      <c r="O587" t="s">
        <v>2568</v>
      </c>
      <c r="P587" t="s">
        <v>2562</v>
      </c>
      <c r="Q587" t="s">
        <v>370</v>
      </c>
    </row>
    <row r="588" spans="1:17" ht="14.25" customHeight="1" x14ac:dyDescent="0.2">
      <c r="A588" s="584" t="s">
        <v>2548</v>
      </c>
      <c r="B588" s="110">
        <f t="shared" si="10"/>
        <v>2.64</v>
      </c>
      <c r="C588" s="575">
        <v>46051</v>
      </c>
      <c r="D588" s="569">
        <v>46055</v>
      </c>
      <c r="E588" s="569">
        <v>46055</v>
      </c>
      <c r="F588" t="s">
        <v>2569</v>
      </c>
      <c r="G588" t="s">
        <v>370</v>
      </c>
      <c r="H588" t="s">
        <v>367</v>
      </c>
      <c r="I588" t="s">
        <v>368</v>
      </c>
      <c r="J588" t="s">
        <v>1580</v>
      </c>
      <c r="K588" t="s">
        <v>1586</v>
      </c>
      <c r="L588" t="s">
        <v>1587</v>
      </c>
      <c r="M588" t="s">
        <v>2570</v>
      </c>
      <c r="N588" t="s">
        <v>741</v>
      </c>
      <c r="O588" t="s">
        <v>2571</v>
      </c>
      <c r="P588" t="s">
        <v>2562</v>
      </c>
      <c r="Q588" t="s">
        <v>370</v>
      </c>
    </row>
    <row r="589" spans="1:17" ht="14.25" customHeight="1" x14ac:dyDescent="0.2">
      <c r="A589" s="584" t="s">
        <v>2548</v>
      </c>
      <c r="B589" s="110">
        <f t="shared" si="10"/>
        <v>2.64</v>
      </c>
      <c r="C589" s="575">
        <v>46051</v>
      </c>
      <c r="D589" s="569">
        <v>46055</v>
      </c>
      <c r="E589" s="569">
        <v>46055</v>
      </c>
      <c r="F589" t="s">
        <v>1351</v>
      </c>
      <c r="G589" t="s">
        <v>370</v>
      </c>
      <c r="H589" t="s">
        <v>367</v>
      </c>
      <c r="I589" t="s">
        <v>368</v>
      </c>
      <c r="J589" t="s">
        <v>1580</v>
      </c>
      <c r="K589" t="s">
        <v>1586</v>
      </c>
      <c r="L589" t="s">
        <v>1587</v>
      </c>
      <c r="M589" s="574" t="s">
        <v>2572</v>
      </c>
      <c r="N589" t="s">
        <v>741</v>
      </c>
      <c r="O589" t="s">
        <v>2573</v>
      </c>
      <c r="P589" t="s">
        <v>2562</v>
      </c>
      <c r="Q589" t="s">
        <v>370</v>
      </c>
    </row>
    <row r="590" spans="1:17" ht="14.25" customHeight="1" x14ac:dyDescent="0.2">
      <c r="A590" s="584" t="s">
        <v>2548</v>
      </c>
      <c r="B590" s="110">
        <f t="shared" si="10"/>
        <v>2.62</v>
      </c>
      <c r="C590" s="575">
        <v>46051</v>
      </c>
      <c r="D590" s="569">
        <v>46055</v>
      </c>
      <c r="E590" s="569">
        <v>46055</v>
      </c>
      <c r="F590" t="s">
        <v>2084</v>
      </c>
      <c r="G590" t="s">
        <v>370</v>
      </c>
      <c r="H590" t="s">
        <v>367</v>
      </c>
      <c r="I590" t="s">
        <v>368</v>
      </c>
      <c r="J590" t="s">
        <v>1580</v>
      </c>
      <c r="K590" t="s">
        <v>1581</v>
      </c>
      <c r="L590" t="s">
        <v>1582</v>
      </c>
      <c r="M590" t="s">
        <v>2574</v>
      </c>
      <c r="N590" t="s">
        <v>747</v>
      </c>
      <c r="O590" t="s">
        <v>2575</v>
      </c>
      <c r="P590" t="s">
        <v>2562</v>
      </c>
      <c r="Q590" t="s">
        <v>370</v>
      </c>
    </row>
    <row r="591" spans="1:17" ht="14.25" customHeight="1" x14ac:dyDescent="0.2">
      <c r="A591" s="584" t="s">
        <v>2548</v>
      </c>
      <c r="B591" s="110">
        <f t="shared" si="10"/>
        <v>2.64</v>
      </c>
      <c r="C591" s="575">
        <v>46051</v>
      </c>
      <c r="D591" s="569">
        <v>46055</v>
      </c>
      <c r="E591" s="569">
        <v>46055</v>
      </c>
      <c r="F591" t="s">
        <v>813</v>
      </c>
      <c r="G591" t="s">
        <v>370</v>
      </c>
      <c r="H591" t="s">
        <v>367</v>
      </c>
      <c r="I591" t="s">
        <v>368</v>
      </c>
      <c r="J591" t="s">
        <v>1580</v>
      </c>
      <c r="K591" t="s">
        <v>1586</v>
      </c>
      <c r="L591" t="s">
        <v>1587</v>
      </c>
      <c r="M591" t="s">
        <v>2576</v>
      </c>
      <c r="N591" t="s">
        <v>741</v>
      </c>
      <c r="O591" t="s">
        <v>2577</v>
      </c>
      <c r="P591" t="s">
        <v>2562</v>
      </c>
      <c r="Q591" t="s">
        <v>370</v>
      </c>
    </row>
    <row r="592" spans="1:17" ht="14.25" customHeight="1" x14ac:dyDescent="0.2">
      <c r="A592" s="584" t="s">
        <v>2548</v>
      </c>
      <c r="B592" s="110">
        <f t="shared" si="10"/>
        <v>2.64</v>
      </c>
      <c r="C592" s="575">
        <v>46051</v>
      </c>
      <c r="D592" s="569">
        <v>46055</v>
      </c>
      <c r="E592" s="569">
        <v>46055</v>
      </c>
      <c r="F592" t="s">
        <v>859</v>
      </c>
      <c r="G592" t="s">
        <v>370</v>
      </c>
      <c r="H592" t="s">
        <v>367</v>
      </c>
      <c r="I592" t="s">
        <v>368</v>
      </c>
      <c r="J592" t="s">
        <v>1580</v>
      </c>
      <c r="K592" t="s">
        <v>1586</v>
      </c>
      <c r="L592" t="s">
        <v>1587</v>
      </c>
      <c r="M592" t="s">
        <v>2578</v>
      </c>
      <c r="N592" t="s">
        <v>741</v>
      </c>
      <c r="O592" t="s">
        <v>2579</v>
      </c>
      <c r="P592" t="s">
        <v>2562</v>
      </c>
      <c r="Q592" t="s">
        <v>370</v>
      </c>
    </row>
    <row r="593" spans="1:17" ht="14.25" customHeight="1" x14ac:dyDescent="0.2">
      <c r="A593" s="584" t="s">
        <v>2548</v>
      </c>
      <c r="B593" s="110">
        <f t="shared" si="10"/>
        <v>2.64</v>
      </c>
      <c r="C593" s="575">
        <v>46051</v>
      </c>
      <c r="D593" s="569">
        <v>46055</v>
      </c>
      <c r="E593" s="569">
        <v>46055</v>
      </c>
      <c r="F593" t="s">
        <v>2333</v>
      </c>
      <c r="G593" t="s">
        <v>370</v>
      </c>
      <c r="H593" t="s">
        <v>367</v>
      </c>
      <c r="I593" t="s">
        <v>368</v>
      </c>
      <c r="J593" t="s">
        <v>1580</v>
      </c>
      <c r="K593" t="s">
        <v>1586</v>
      </c>
      <c r="L593" t="s">
        <v>1587</v>
      </c>
      <c r="M593" t="s">
        <v>2580</v>
      </c>
      <c r="N593" t="s">
        <v>741</v>
      </c>
      <c r="O593" t="s">
        <v>2581</v>
      </c>
      <c r="P593" t="s">
        <v>2562</v>
      </c>
      <c r="Q593" t="s">
        <v>370</v>
      </c>
    </row>
    <row r="594" spans="1:17" ht="14.25" customHeight="1" x14ac:dyDescent="0.2">
      <c r="A594" s="584" t="s">
        <v>2548</v>
      </c>
      <c r="B594" s="110">
        <f t="shared" si="10"/>
        <v>2.64</v>
      </c>
      <c r="C594" s="575">
        <v>46051</v>
      </c>
      <c r="D594" s="569">
        <v>46055</v>
      </c>
      <c r="E594" s="569">
        <v>46055</v>
      </c>
      <c r="F594" t="s">
        <v>1358</v>
      </c>
      <c r="G594" t="s">
        <v>370</v>
      </c>
      <c r="H594" t="s">
        <v>367</v>
      </c>
      <c r="I594" t="s">
        <v>368</v>
      </c>
      <c r="J594" t="s">
        <v>1580</v>
      </c>
      <c r="K594" t="s">
        <v>1586</v>
      </c>
      <c r="L594" t="s">
        <v>1587</v>
      </c>
      <c r="M594" t="s">
        <v>2582</v>
      </c>
      <c r="N594" t="s">
        <v>741</v>
      </c>
      <c r="O594" t="s">
        <v>2583</v>
      </c>
      <c r="P594" t="s">
        <v>2562</v>
      </c>
      <c r="Q594" t="s">
        <v>370</v>
      </c>
    </row>
    <row r="595" spans="1:17" ht="14.25" customHeight="1" x14ac:dyDescent="0.2">
      <c r="A595" s="584" t="s">
        <v>2548</v>
      </c>
      <c r="B595" s="110">
        <f t="shared" si="10"/>
        <v>2.62</v>
      </c>
      <c r="C595" s="575">
        <v>46051</v>
      </c>
      <c r="D595" s="569">
        <v>46055</v>
      </c>
      <c r="E595" s="569">
        <v>46055</v>
      </c>
      <c r="F595" t="s">
        <v>2087</v>
      </c>
      <c r="G595" t="s">
        <v>370</v>
      </c>
      <c r="H595" t="s">
        <v>367</v>
      </c>
      <c r="I595" t="s">
        <v>368</v>
      </c>
      <c r="J595" t="s">
        <v>1580</v>
      </c>
      <c r="K595" t="s">
        <v>1581</v>
      </c>
      <c r="L595" t="s">
        <v>1582</v>
      </c>
      <c r="M595" s="574" t="s">
        <v>2584</v>
      </c>
      <c r="N595" t="s">
        <v>747</v>
      </c>
      <c r="O595" t="s">
        <v>2585</v>
      </c>
      <c r="P595" t="s">
        <v>2562</v>
      </c>
      <c r="Q595" t="s">
        <v>370</v>
      </c>
    </row>
    <row r="596" spans="1:17" ht="14.25" customHeight="1" x14ac:dyDescent="0.2">
      <c r="A596" s="584" t="s">
        <v>2548</v>
      </c>
      <c r="B596" s="110">
        <f t="shared" si="10"/>
        <v>2.62</v>
      </c>
      <c r="C596" s="575">
        <v>46051</v>
      </c>
      <c r="D596" s="569">
        <v>46055</v>
      </c>
      <c r="E596" s="569">
        <v>46055</v>
      </c>
      <c r="F596" t="s">
        <v>2586</v>
      </c>
      <c r="G596" t="s">
        <v>370</v>
      </c>
      <c r="H596" t="s">
        <v>367</v>
      </c>
      <c r="I596" t="s">
        <v>368</v>
      </c>
      <c r="J596" t="s">
        <v>1580</v>
      </c>
      <c r="K596" t="s">
        <v>1581</v>
      </c>
      <c r="L596" t="s">
        <v>1582</v>
      </c>
      <c r="M596" t="s">
        <v>2587</v>
      </c>
      <c r="N596" t="s">
        <v>747</v>
      </c>
      <c r="O596" t="s">
        <v>2588</v>
      </c>
      <c r="P596" t="s">
        <v>2562</v>
      </c>
      <c r="Q596" t="s">
        <v>370</v>
      </c>
    </row>
    <row r="597" spans="1:17" ht="14.25" customHeight="1" x14ac:dyDescent="0.2">
      <c r="A597" s="584" t="s">
        <v>2548</v>
      </c>
      <c r="B597" s="110">
        <f t="shared" si="10"/>
        <v>2.62</v>
      </c>
      <c r="C597" s="575">
        <v>46051</v>
      </c>
      <c r="D597" s="569">
        <v>46055</v>
      </c>
      <c r="E597" s="569">
        <v>46055</v>
      </c>
      <c r="F597" t="s">
        <v>2097</v>
      </c>
      <c r="G597" t="s">
        <v>370</v>
      </c>
      <c r="H597" t="s">
        <v>367</v>
      </c>
      <c r="I597" t="s">
        <v>368</v>
      </c>
      <c r="J597" t="s">
        <v>1580</v>
      </c>
      <c r="K597" t="s">
        <v>1581</v>
      </c>
      <c r="L597" t="s">
        <v>1582</v>
      </c>
      <c r="M597" t="s">
        <v>2589</v>
      </c>
      <c r="N597" t="s">
        <v>747</v>
      </c>
      <c r="O597" s="574" t="s">
        <v>2590</v>
      </c>
      <c r="P597" t="s">
        <v>2562</v>
      </c>
      <c r="Q597" t="s">
        <v>370</v>
      </c>
    </row>
    <row r="598" spans="1:17" ht="14.25" customHeight="1" x14ac:dyDescent="0.2">
      <c r="A598" s="584" t="s">
        <v>2610</v>
      </c>
      <c r="B598" s="110">
        <f t="shared" ref="B598:B661" si="11">_xlfn.NUMBERVALUE(L598)*0.01</f>
        <v>4.57</v>
      </c>
      <c r="C598" s="575">
        <v>46051</v>
      </c>
      <c r="D598" s="569">
        <v>46055</v>
      </c>
      <c r="E598" s="569">
        <v>46055</v>
      </c>
      <c r="F598" t="s">
        <v>2591</v>
      </c>
      <c r="G598" t="s">
        <v>370</v>
      </c>
      <c r="H598" t="s">
        <v>367</v>
      </c>
      <c r="I598" t="s">
        <v>368</v>
      </c>
      <c r="J598" t="s">
        <v>1594</v>
      </c>
      <c r="K598" t="s">
        <v>1413</v>
      </c>
      <c r="L598" t="s">
        <v>1615</v>
      </c>
      <c r="M598" t="s">
        <v>2592</v>
      </c>
      <c r="N598" t="s">
        <v>747</v>
      </c>
      <c r="O598" t="s">
        <v>2593</v>
      </c>
      <c r="P598" t="s">
        <v>2562</v>
      </c>
      <c r="Q598" t="s">
        <v>370</v>
      </c>
    </row>
    <row r="599" spans="1:17" ht="14.25" customHeight="1" x14ac:dyDescent="0.2">
      <c r="A599" s="584" t="s">
        <v>2548</v>
      </c>
      <c r="B599" s="110">
        <f t="shared" si="11"/>
        <v>2.62</v>
      </c>
      <c r="C599" s="575">
        <v>46051</v>
      </c>
      <c r="D599" s="569">
        <v>46055</v>
      </c>
      <c r="E599" s="569">
        <v>46055</v>
      </c>
      <c r="F599" t="s">
        <v>1339</v>
      </c>
      <c r="G599" t="s">
        <v>370</v>
      </c>
      <c r="H599" t="s">
        <v>367</v>
      </c>
      <c r="I599" t="s">
        <v>368</v>
      </c>
      <c r="J599" t="s">
        <v>1580</v>
      </c>
      <c r="K599" t="s">
        <v>1581</v>
      </c>
      <c r="L599" t="s">
        <v>1582</v>
      </c>
      <c r="M599" t="s">
        <v>2594</v>
      </c>
      <c r="N599" t="s">
        <v>747</v>
      </c>
      <c r="O599" t="s">
        <v>2595</v>
      </c>
      <c r="P599" t="s">
        <v>2562</v>
      </c>
      <c r="Q599" t="s">
        <v>370</v>
      </c>
    </row>
    <row r="600" spans="1:17" ht="14.25" customHeight="1" x14ac:dyDescent="0.2">
      <c r="A600" s="584" t="s">
        <v>2548</v>
      </c>
      <c r="B600" s="110">
        <f t="shared" si="11"/>
        <v>2.62</v>
      </c>
      <c r="C600" s="575">
        <v>46051</v>
      </c>
      <c r="D600" s="569">
        <v>46055</v>
      </c>
      <c r="E600" s="569">
        <v>46055</v>
      </c>
      <c r="F600" t="s">
        <v>2223</v>
      </c>
      <c r="G600" t="s">
        <v>370</v>
      </c>
      <c r="H600" t="s">
        <v>367</v>
      </c>
      <c r="I600" t="s">
        <v>368</v>
      </c>
      <c r="J600" t="s">
        <v>1580</v>
      </c>
      <c r="K600" t="s">
        <v>1581</v>
      </c>
      <c r="L600" t="s">
        <v>1582</v>
      </c>
      <c r="M600" t="s">
        <v>2596</v>
      </c>
      <c r="N600" t="s">
        <v>747</v>
      </c>
      <c r="O600" t="s">
        <v>2597</v>
      </c>
      <c r="P600" t="s">
        <v>2562</v>
      </c>
      <c r="Q600" t="s">
        <v>370</v>
      </c>
    </row>
    <row r="601" spans="1:17" ht="14.25" customHeight="1" x14ac:dyDescent="0.2">
      <c r="A601" s="584" t="s">
        <v>2610</v>
      </c>
      <c r="B601" s="110">
        <f t="shared" si="11"/>
        <v>4.6000000000000005</v>
      </c>
      <c r="C601" s="575">
        <v>46051</v>
      </c>
      <c r="D601" s="569">
        <v>46055</v>
      </c>
      <c r="E601" s="569">
        <v>46055</v>
      </c>
      <c r="F601" t="s">
        <v>2598</v>
      </c>
      <c r="G601" t="s">
        <v>370</v>
      </c>
      <c r="H601" t="s">
        <v>367</v>
      </c>
      <c r="I601" t="s">
        <v>368</v>
      </c>
      <c r="J601" t="s">
        <v>1594</v>
      </c>
      <c r="K601" t="s">
        <v>1595</v>
      </c>
      <c r="L601" t="s">
        <v>1596</v>
      </c>
      <c r="M601" t="s">
        <v>2599</v>
      </c>
      <c r="N601" t="s">
        <v>741</v>
      </c>
      <c r="O601" t="s">
        <v>2600</v>
      </c>
      <c r="P601" t="s">
        <v>2562</v>
      </c>
      <c r="Q601" t="s">
        <v>370</v>
      </c>
    </row>
    <row r="602" spans="1:17" ht="14.25" customHeight="1" x14ac:dyDescent="0.2">
      <c r="A602" s="584" t="s">
        <v>2548</v>
      </c>
      <c r="B602" s="110">
        <f t="shared" si="11"/>
        <v>2.64</v>
      </c>
      <c r="C602" s="575">
        <v>46051</v>
      </c>
      <c r="D602" s="569">
        <v>46055</v>
      </c>
      <c r="E602" s="569">
        <v>46055</v>
      </c>
      <c r="F602" t="s">
        <v>2400</v>
      </c>
      <c r="G602" t="s">
        <v>370</v>
      </c>
      <c r="H602" t="s">
        <v>367</v>
      </c>
      <c r="I602" t="s">
        <v>368</v>
      </c>
      <c r="J602" t="s">
        <v>1580</v>
      </c>
      <c r="K602" t="s">
        <v>1586</v>
      </c>
      <c r="L602" t="s">
        <v>1587</v>
      </c>
      <c r="M602" t="s">
        <v>2601</v>
      </c>
      <c r="N602" t="s">
        <v>741</v>
      </c>
      <c r="O602" t="s">
        <v>2602</v>
      </c>
      <c r="P602" t="s">
        <v>2562</v>
      </c>
      <c r="Q602" t="s">
        <v>370</v>
      </c>
    </row>
    <row r="603" spans="1:17" ht="14.25" customHeight="1" x14ac:dyDescent="0.2">
      <c r="A603" s="584" t="s">
        <v>2610</v>
      </c>
      <c r="B603" s="110">
        <f t="shared" si="11"/>
        <v>4.57</v>
      </c>
      <c r="C603" s="575">
        <v>46051</v>
      </c>
      <c r="D603" s="569">
        <v>46055</v>
      </c>
      <c r="E603" s="569">
        <v>46055</v>
      </c>
      <c r="F603" t="s">
        <v>2603</v>
      </c>
      <c r="G603" t="s">
        <v>370</v>
      </c>
      <c r="H603" t="s">
        <v>367</v>
      </c>
      <c r="I603" t="s">
        <v>368</v>
      </c>
      <c r="J603" t="s">
        <v>1594</v>
      </c>
      <c r="K603" t="s">
        <v>1413</v>
      </c>
      <c r="L603" t="s">
        <v>1615</v>
      </c>
      <c r="M603" t="s">
        <v>2604</v>
      </c>
      <c r="N603" t="s">
        <v>747</v>
      </c>
      <c r="O603" s="574" t="s">
        <v>2605</v>
      </c>
      <c r="P603" t="s">
        <v>2562</v>
      </c>
      <c r="Q603" t="s">
        <v>370</v>
      </c>
    </row>
    <row r="604" spans="1:17" ht="14.25" customHeight="1" x14ac:dyDescent="0.2">
      <c r="A604" s="584" t="s">
        <v>2548</v>
      </c>
      <c r="B604" s="110">
        <f t="shared" si="11"/>
        <v>2.62</v>
      </c>
      <c r="C604" s="575">
        <v>46051</v>
      </c>
      <c r="D604" s="569">
        <v>46055</v>
      </c>
      <c r="E604" s="569">
        <v>46055</v>
      </c>
      <c r="F604" t="s">
        <v>2081</v>
      </c>
      <c r="G604" t="s">
        <v>370</v>
      </c>
      <c r="H604" t="s">
        <v>367</v>
      </c>
      <c r="I604" t="s">
        <v>368</v>
      </c>
      <c r="J604" t="s">
        <v>1580</v>
      </c>
      <c r="K604" t="s">
        <v>1581</v>
      </c>
      <c r="L604" t="s">
        <v>1582</v>
      </c>
      <c r="M604" t="s">
        <v>2606</v>
      </c>
      <c r="N604" t="s">
        <v>747</v>
      </c>
      <c r="O604" t="s">
        <v>2607</v>
      </c>
      <c r="P604" t="s">
        <v>2562</v>
      </c>
      <c r="Q604" t="s">
        <v>370</v>
      </c>
    </row>
    <row r="605" spans="1:17" ht="14.25" customHeight="1" x14ac:dyDescent="0.2">
      <c r="A605" s="584" t="s">
        <v>2548</v>
      </c>
      <c r="B605" s="110">
        <f t="shared" si="11"/>
        <v>4.57</v>
      </c>
      <c r="C605" s="575">
        <v>46051</v>
      </c>
      <c r="D605" s="569">
        <v>46055</v>
      </c>
      <c r="E605" s="569">
        <v>46055</v>
      </c>
      <c r="F605" t="s">
        <v>862</v>
      </c>
      <c r="G605" t="s">
        <v>370</v>
      </c>
      <c r="H605" t="s">
        <v>367</v>
      </c>
      <c r="I605" t="s">
        <v>368</v>
      </c>
      <c r="J605" t="s">
        <v>1594</v>
      </c>
      <c r="K605" t="s">
        <v>1413</v>
      </c>
      <c r="L605" t="s">
        <v>1615</v>
      </c>
      <c r="M605" t="s">
        <v>2608</v>
      </c>
      <c r="N605" t="s">
        <v>747</v>
      </c>
      <c r="O605" t="s">
        <v>2609</v>
      </c>
      <c r="P605" t="s">
        <v>2562</v>
      </c>
      <c r="Q605" t="s">
        <v>370</v>
      </c>
    </row>
    <row r="606" spans="1:17" ht="14.25" customHeight="1" x14ac:dyDescent="0.2">
      <c r="A606" s="584" t="s">
        <v>115</v>
      </c>
      <c r="B606" s="110">
        <f t="shared" si="11"/>
        <v>3.6</v>
      </c>
      <c r="C606" s="575">
        <v>46054</v>
      </c>
      <c r="D606" s="569">
        <v>46056</v>
      </c>
      <c r="E606" s="569">
        <v>46056</v>
      </c>
      <c r="F606" t="s">
        <v>2378</v>
      </c>
      <c r="G606" t="s">
        <v>370</v>
      </c>
      <c r="H606" t="s">
        <v>367</v>
      </c>
      <c r="I606" t="s">
        <v>368</v>
      </c>
      <c r="J606" t="s">
        <v>1776</v>
      </c>
      <c r="K606" t="s">
        <v>1399</v>
      </c>
      <c r="L606" t="s">
        <v>1777</v>
      </c>
      <c r="M606" t="s">
        <v>2611</v>
      </c>
      <c r="N606" t="s">
        <v>747</v>
      </c>
      <c r="O606" t="s">
        <v>2612</v>
      </c>
      <c r="P606" t="s">
        <v>2613</v>
      </c>
      <c r="Q606" t="s">
        <v>370</v>
      </c>
    </row>
    <row r="607" spans="1:17" ht="14.25" customHeight="1" x14ac:dyDescent="0.2">
      <c r="A607" s="584" t="s">
        <v>115</v>
      </c>
      <c r="B607" s="110">
        <f t="shared" si="11"/>
        <v>3.62</v>
      </c>
      <c r="C607" s="575">
        <v>46053</v>
      </c>
      <c r="D607" s="569">
        <v>46056</v>
      </c>
      <c r="E607" s="569">
        <v>46056</v>
      </c>
      <c r="F607" t="s">
        <v>850</v>
      </c>
      <c r="G607" t="s">
        <v>850</v>
      </c>
      <c r="H607" t="s">
        <v>367</v>
      </c>
      <c r="I607" t="s">
        <v>368</v>
      </c>
      <c r="J607" t="s">
        <v>1776</v>
      </c>
      <c r="K607" t="s">
        <v>1417</v>
      </c>
      <c r="L607" t="s">
        <v>1400</v>
      </c>
      <c r="M607" t="s">
        <v>2614</v>
      </c>
      <c r="N607" t="s">
        <v>369</v>
      </c>
      <c r="O607" t="s">
        <v>2615</v>
      </c>
      <c r="P607" t="s">
        <v>2613</v>
      </c>
      <c r="Q607" t="s">
        <v>370</v>
      </c>
    </row>
    <row r="608" spans="1:17" ht="14.25" customHeight="1" x14ac:dyDescent="0.2">
      <c r="A608" s="584" t="s">
        <v>115</v>
      </c>
      <c r="B608" s="110">
        <f t="shared" si="11"/>
        <v>3.6</v>
      </c>
      <c r="C608" s="575">
        <v>46053</v>
      </c>
      <c r="D608" s="569">
        <v>46056</v>
      </c>
      <c r="E608" s="569">
        <v>46056</v>
      </c>
      <c r="F608" t="s">
        <v>2009</v>
      </c>
      <c r="G608" t="s">
        <v>370</v>
      </c>
      <c r="H608" t="s">
        <v>367</v>
      </c>
      <c r="I608" t="s">
        <v>368</v>
      </c>
      <c r="J608" t="s">
        <v>1776</v>
      </c>
      <c r="K608" t="s">
        <v>1399</v>
      </c>
      <c r="L608" t="s">
        <v>1777</v>
      </c>
      <c r="M608" t="s">
        <v>2616</v>
      </c>
      <c r="N608" t="s">
        <v>747</v>
      </c>
      <c r="O608" s="574" t="s">
        <v>2617</v>
      </c>
      <c r="P608" t="s">
        <v>2613</v>
      </c>
      <c r="Q608" t="s">
        <v>370</v>
      </c>
    </row>
    <row r="609" spans="1:17" ht="14.25" customHeight="1" x14ac:dyDescent="0.2">
      <c r="A609" s="584" t="s">
        <v>115</v>
      </c>
      <c r="B609" s="110">
        <f t="shared" si="11"/>
        <v>3.6</v>
      </c>
      <c r="C609" s="575">
        <v>46053</v>
      </c>
      <c r="D609" s="569">
        <v>46056</v>
      </c>
      <c r="E609" s="569">
        <v>46056</v>
      </c>
      <c r="F609" t="s">
        <v>1842</v>
      </c>
      <c r="G609" t="s">
        <v>370</v>
      </c>
      <c r="H609" t="s">
        <v>367</v>
      </c>
      <c r="I609" t="s">
        <v>368</v>
      </c>
      <c r="J609" t="s">
        <v>1776</v>
      </c>
      <c r="K609" t="s">
        <v>1399</v>
      </c>
      <c r="L609" t="s">
        <v>1777</v>
      </c>
      <c r="M609" t="s">
        <v>2618</v>
      </c>
      <c r="N609" t="s">
        <v>747</v>
      </c>
      <c r="O609" t="s">
        <v>2619</v>
      </c>
      <c r="P609" t="s">
        <v>2613</v>
      </c>
      <c r="Q609" t="s">
        <v>370</v>
      </c>
    </row>
    <row r="610" spans="1:17" ht="14.25" customHeight="1" x14ac:dyDescent="0.2">
      <c r="A610" s="584" t="s">
        <v>115</v>
      </c>
      <c r="B610" s="110">
        <f t="shared" si="11"/>
        <v>3.62</v>
      </c>
      <c r="C610" s="575">
        <v>46052</v>
      </c>
      <c r="D610" s="569">
        <v>46056</v>
      </c>
      <c r="E610" s="569">
        <v>46056</v>
      </c>
      <c r="F610" t="s">
        <v>2620</v>
      </c>
      <c r="G610" t="s">
        <v>370</v>
      </c>
      <c r="H610" t="s">
        <v>367</v>
      </c>
      <c r="I610" t="s">
        <v>368</v>
      </c>
      <c r="J610" t="s">
        <v>1776</v>
      </c>
      <c r="K610" t="s">
        <v>1417</v>
      </c>
      <c r="L610" t="s">
        <v>1400</v>
      </c>
      <c r="M610" t="s">
        <v>2621</v>
      </c>
      <c r="N610" t="s">
        <v>781</v>
      </c>
      <c r="O610" t="s">
        <v>2622</v>
      </c>
      <c r="P610" t="s">
        <v>2613</v>
      </c>
      <c r="Q610" t="s">
        <v>370</v>
      </c>
    </row>
    <row r="611" spans="1:17" ht="14.25" customHeight="1" x14ac:dyDescent="0.2">
      <c r="A611" s="584" t="s">
        <v>115</v>
      </c>
      <c r="B611" s="110">
        <f t="shared" si="11"/>
        <v>3.6</v>
      </c>
      <c r="C611" s="575">
        <v>46052</v>
      </c>
      <c r="D611" s="569">
        <v>46056</v>
      </c>
      <c r="E611" s="569">
        <v>46056</v>
      </c>
      <c r="F611" t="s">
        <v>2623</v>
      </c>
      <c r="G611" t="s">
        <v>370</v>
      </c>
      <c r="H611" t="s">
        <v>367</v>
      </c>
      <c r="I611" t="s">
        <v>368</v>
      </c>
      <c r="J611" t="s">
        <v>1776</v>
      </c>
      <c r="K611" t="s">
        <v>1399</v>
      </c>
      <c r="L611" t="s">
        <v>1777</v>
      </c>
      <c r="M611" t="s">
        <v>2624</v>
      </c>
      <c r="N611" t="s">
        <v>747</v>
      </c>
      <c r="O611" t="s">
        <v>2625</v>
      </c>
      <c r="P611" t="s">
        <v>2613</v>
      </c>
      <c r="Q611" t="s">
        <v>370</v>
      </c>
    </row>
    <row r="612" spans="1:17" ht="14.25" customHeight="1" x14ac:dyDescent="0.2">
      <c r="A612" s="584" t="s">
        <v>115</v>
      </c>
      <c r="B612" s="110">
        <f t="shared" si="11"/>
        <v>3.6</v>
      </c>
      <c r="C612" s="575">
        <v>46055</v>
      </c>
      <c r="D612" s="569">
        <v>46057</v>
      </c>
      <c r="E612" s="569">
        <v>46057</v>
      </c>
      <c r="F612" t="s">
        <v>2631</v>
      </c>
      <c r="G612" t="s">
        <v>370</v>
      </c>
      <c r="H612" t="s">
        <v>367</v>
      </c>
      <c r="I612" t="s">
        <v>368</v>
      </c>
      <c r="J612" t="s">
        <v>1776</v>
      </c>
      <c r="K612" t="s">
        <v>1399</v>
      </c>
      <c r="L612" t="s">
        <v>1777</v>
      </c>
      <c r="M612" t="s">
        <v>2632</v>
      </c>
      <c r="N612" t="s">
        <v>747</v>
      </c>
      <c r="O612" t="s">
        <v>2633</v>
      </c>
      <c r="P612" t="s">
        <v>2634</v>
      </c>
      <c r="Q612" t="s">
        <v>370</v>
      </c>
    </row>
    <row r="613" spans="1:17" ht="14.25" customHeight="1" x14ac:dyDescent="0.2">
      <c r="A613" s="584" t="s">
        <v>115</v>
      </c>
      <c r="B613" s="110">
        <f t="shared" si="11"/>
        <v>3.6</v>
      </c>
      <c r="C613" s="575">
        <v>46055</v>
      </c>
      <c r="D613" s="569">
        <v>46057</v>
      </c>
      <c r="E613" s="569">
        <v>46057</v>
      </c>
      <c r="F613" t="s">
        <v>1092</v>
      </c>
      <c r="G613" t="s">
        <v>370</v>
      </c>
      <c r="H613" t="s">
        <v>367</v>
      </c>
      <c r="I613" t="s">
        <v>368</v>
      </c>
      <c r="J613" t="s">
        <v>1776</v>
      </c>
      <c r="K613" t="s">
        <v>1399</v>
      </c>
      <c r="L613" t="s">
        <v>1777</v>
      </c>
      <c r="M613" t="s">
        <v>2635</v>
      </c>
      <c r="N613" t="s">
        <v>747</v>
      </c>
      <c r="O613" t="s">
        <v>2636</v>
      </c>
      <c r="P613" t="s">
        <v>2634</v>
      </c>
      <c r="Q613" t="s">
        <v>370</v>
      </c>
    </row>
    <row r="614" spans="1:17" ht="14.25" customHeight="1" x14ac:dyDescent="0.2">
      <c r="A614" s="584" t="s">
        <v>115</v>
      </c>
      <c r="B614" s="110">
        <f t="shared" si="11"/>
        <v>3.62</v>
      </c>
      <c r="C614" s="575">
        <v>46055</v>
      </c>
      <c r="D614" s="569">
        <v>46057</v>
      </c>
      <c r="E614" s="569">
        <v>46057</v>
      </c>
      <c r="F614" t="s">
        <v>797</v>
      </c>
      <c r="G614" t="s">
        <v>370</v>
      </c>
      <c r="H614" t="s">
        <v>367</v>
      </c>
      <c r="I614" t="s">
        <v>368</v>
      </c>
      <c r="J614" t="s">
        <v>1776</v>
      </c>
      <c r="K614" t="s">
        <v>1417</v>
      </c>
      <c r="L614" t="s">
        <v>1400</v>
      </c>
      <c r="M614" t="s">
        <v>2637</v>
      </c>
      <c r="N614" t="s">
        <v>741</v>
      </c>
      <c r="O614" t="s">
        <v>2638</v>
      </c>
      <c r="P614" t="s">
        <v>2634</v>
      </c>
      <c r="Q614" t="s">
        <v>370</v>
      </c>
    </row>
    <row r="615" spans="1:17" ht="14.25" customHeight="1" x14ac:dyDescent="0.2">
      <c r="A615" s="584" t="s">
        <v>115</v>
      </c>
      <c r="B615" s="110">
        <f t="shared" si="11"/>
        <v>3.62</v>
      </c>
      <c r="C615" s="575">
        <v>46055</v>
      </c>
      <c r="D615" s="569">
        <v>46057</v>
      </c>
      <c r="E615" s="569">
        <v>46057</v>
      </c>
      <c r="F615" t="s">
        <v>2367</v>
      </c>
      <c r="G615" t="s">
        <v>370</v>
      </c>
      <c r="H615" t="s">
        <v>367</v>
      </c>
      <c r="I615" t="s">
        <v>368</v>
      </c>
      <c r="J615" t="s">
        <v>1776</v>
      </c>
      <c r="K615" t="s">
        <v>1417</v>
      </c>
      <c r="L615" t="s">
        <v>1400</v>
      </c>
      <c r="M615" t="s">
        <v>2639</v>
      </c>
      <c r="N615" t="s">
        <v>741</v>
      </c>
      <c r="O615" t="s">
        <v>2640</v>
      </c>
      <c r="P615" t="s">
        <v>2634</v>
      </c>
      <c r="Q615" t="s">
        <v>370</v>
      </c>
    </row>
    <row r="616" spans="1:17" ht="14.25" customHeight="1" x14ac:dyDescent="0.2">
      <c r="A616" s="584" t="s">
        <v>115</v>
      </c>
      <c r="B616" s="110">
        <f t="shared" si="11"/>
        <v>3.6</v>
      </c>
      <c r="C616" s="575">
        <v>46055</v>
      </c>
      <c r="D616" s="569">
        <v>46057</v>
      </c>
      <c r="E616" s="569">
        <v>46057</v>
      </c>
      <c r="F616" t="s">
        <v>1015</v>
      </c>
      <c r="G616" t="s">
        <v>370</v>
      </c>
      <c r="H616" t="s">
        <v>367</v>
      </c>
      <c r="I616" t="s">
        <v>368</v>
      </c>
      <c r="J616" t="s">
        <v>1776</v>
      </c>
      <c r="K616" t="s">
        <v>1399</v>
      </c>
      <c r="L616" t="s">
        <v>1777</v>
      </c>
      <c r="M616" t="s">
        <v>2641</v>
      </c>
      <c r="N616" t="s">
        <v>747</v>
      </c>
      <c r="O616" t="s">
        <v>2642</v>
      </c>
      <c r="P616" t="s">
        <v>2634</v>
      </c>
      <c r="Q616" t="s">
        <v>370</v>
      </c>
    </row>
    <row r="617" spans="1:17" ht="14.25" customHeight="1" x14ac:dyDescent="0.2">
      <c r="A617" s="584" t="s">
        <v>115</v>
      </c>
      <c r="B617" s="110">
        <f t="shared" si="11"/>
        <v>3.6</v>
      </c>
      <c r="C617" s="575">
        <v>46055</v>
      </c>
      <c r="D617" s="569">
        <v>46057</v>
      </c>
      <c r="E617" s="569">
        <v>46057</v>
      </c>
      <c r="F617" t="s">
        <v>2643</v>
      </c>
      <c r="G617" t="s">
        <v>370</v>
      </c>
      <c r="H617" t="s">
        <v>367</v>
      </c>
      <c r="I617" t="s">
        <v>368</v>
      </c>
      <c r="J617" t="s">
        <v>1776</v>
      </c>
      <c r="K617" t="s">
        <v>1399</v>
      </c>
      <c r="L617" t="s">
        <v>1777</v>
      </c>
      <c r="M617" t="s">
        <v>2644</v>
      </c>
      <c r="N617" t="s">
        <v>747</v>
      </c>
      <c r="O617" t="s">
        <v>2645</v>
      </c>
      <c r="P617" t="s">
        <v>2634</v>
      </c>
      <c r="Q617" t="s">
        <v>370</v>
      </c>
    </row>
    <row r="618" spans="1:17" ht="14.25" customHeight="1" x14ac:dyDescent="0.2">
      <c r="A618" s="584" t="s">
        <v>115</v>
      </c>
      <c r="B618" s="110">
        <f t="shared" si="11"/>
        <v>3.6</v>
      </c>
      <c r="C618" s="575">
        <v>46055</v>
      </c>
      <c r="D618" s="569">
        <v>46057</v>
      </c>
      <c r="E618" s="569">
        <v>46057</v>
      </c>
      <c r="F618" t="s">
        <v>2646</v>
      </c>
      <c r="G618" t="s">
        <v>370</v>
      </c>
      <c r="H618" t="s">
        <v>367</v>
      </c>
      <c r="I618" t="s">
        <v>368</v>
      </c>
      <c r="J618" t="s">
        <v>1776</v>
      </c>
      <c r="K618" t="s">
        <v>1399</v>
      </c>
      <c r="L618" t="s">
        <v>1777</v>
      </c>
      <c r="M618" t="s">
        <v>2647</v>
      </c>
      <c r="N618" t="s">
        <v>747</v>
      </c>
      <c r="O618" t="s">
        <v>2648</v>
      </c>
      <c r="P618" t="s">
        <v>2634</v>
      </c>
      <c r="Q618" t="s">
        <v>370</v>
      </c>
    </row>
    <row r="619" spans="1:17" ht="14.25" customHeight="1" x14ac:dyDescent="0.2">
      <c r="A619" s="584" t="s">
        <v>115</v>
      </c>
      <c r="B619" s="110">
        <f t="shared" si="11"/>
        <v>3.62</v>
      </c>
      <c r="C619" s="575">
        <v>46055</v>
      </c>
      <c r="D619" s="569">
        <v>46057</v>
      </c>
      <c r="E619" s="569">
        <v>46057</v>
      </c>
      <c r="F619" t="s">
        <v>2649</v>
      </c>
      <c r="G619" t="s">
        <v>370</v>
      </c>
      <c r="H619" t="s">
        <v>367</v>
      </c>
      <c r="I619" t="s">
        <v>368</v>
      </c>
      <c r="J619" t="s">
        <v>1776</v>
      </c>
      <c r="K619" t="s">
        <v>1417</v>
      </c>
      <c r="L619" t="s">
        <v>1400</v>
      </c>
      <c r="M619" t="s">
        <v>2650</v>
      </c>
      <c r="N619" t="s">
        <v>741</v>
      </c>
      <c r="O619" t="s">
        <v>2651</v>
      </c>
      <c r="P619" t="s">
        <v>2634</v>
      </c>
      <c r="Q619" t="s">
        <v>370</v>
      </c>
    </row>
    <row r="620" spans="1:17" ht="14.25" customHeight="1" x14ac:dyDescent="0.2">
      <c r="A620" s="584" t="s">
        <v>115</v>
      </c>
      <c r="B620" s="110">
        <f t="shared" si="11"/>
        <v>3.6</v>
      </c>
      <c r="C620" s="575">
        <v>46056</v>
      </c>
      <c r="D620" s="569">
        <v>46058</v>
      </c>
      <c r="E620" s="569">
        <v>46058</v>
      </c>
      <c r="F620" t="s">
        <v>2652</v>
      </c>
      <c r="G620" t="s">
        <v>370</v>
      </c>
      <c r="H620" t="s">
        <v>367</v>
      </c>
      <c r="I620" t="s">
        <v>368</v>
      </c>
      <c r="J620" t="s">
        <v>1776</v>
      </c>
      <c r="K620" t="s">
        <v>1399</v>
      </c>
      <c r="L620" t="s">
        <v>1777</v>
      </c>
      <c r="M620" t="s">
        <v>2653</v>
      </c>
      <c r="N620" t="s">
        <v>747</v>
      </c>
      <c r="O620" t="s">
        <v>2654</v>
      </c>
      <c r="P620" t="s">
        <v>2655</v>
      </c>
      <c r="Q620" t="s">
        <v>370</v>
      </c>
    </row>
    <row r="621" spans="1:17" ht="14.25" customHeight="1" x14ac:dyDescent="0.2">
      <c r="A621" s="584" t="s">
        <v>115</v>
      </c>
      <c r="B621" s="110">
        <f t="shared" si="11"/>
        <v>3.6</v>
      </c>
      <c r="C621" s="575">
        <v>46056</v>
      </c>
      <c r="D621" s="569">
        <v>46058</v>
      </c>
      <c r="E621" s="569">
        <v>46058</v>
      </c>
      <c r="F621" t="s">
        <v>2656</v>
      </c>
      <c r="G621" t="s">
        <v>370</v>
      </c>
      <c r="H621" t="s">
        <v>367</v>
      </c>
      <c r="I621" t="s">
        <v>368</v>
      </c>
      <c r="J621" t="s">
        <v>1776</v>
      </c>
      <c r="K621" t="s">
        <v>1399</v>
      </c>
      <c r="L621" t="s">
        <v>1777</v>
      </c>
      <c r="M621" t="s">
        <v>2657</v>
      </c>
      <c r="N621" t="s">
        <v>747</v>
      </c>
      <c r="O621" t="s">
        <v>2658</v>
      </c>
      <c r="P621" t="s">
        <v>2655</v>
      </c>
      <c r="Q621" t="s">
        <v>370</v>
      </c>
    </row>
    <row r="622" spans="1:17" ht="14.25" customHeight="1" x14ac:dyDescent="0.2">
      <c r="A622" s="584" t="s">
        <v>115</v>
      </c>
      <c r="B622" s="110">
        <f t="shared" si="11"/>
        <v>3.62</v>
      </c>
      <c r="C622" s="575">
        <v>46056</v>
      </c>
      <c r="D622" s="569">
        <v>46058</v>
      </c>
      <c r="E622" s="569">
        <v>46058</v>
      </c>
      <c r="F622" t="s">
        <v>2659</v>
      </c>
      <c r="G622" t="s">
        <v>370</v>
      </c>
      <c r="H622" t="s">
        <v>367</v>
      </c>
      <c r="I622" t="s">
        <v>368</v>
      </c>
      <c r="J622" t="s">
        <v>1776</v>
      </c>
      <c r="K622" t="s">
        <v>1417</v>
      </c>
      <c r="L622" t="s">
        <v>1400</v>
      </c>
      <c r="M622" t="s">
        <v>2660</v>
      </c>
      <c r="N622" t="s">
        <v>741</v>
      </c>
      <c r="O622" t="s">
        <v>2661</v>
      </c>
      <c r="P622" t="s">
        <v>2655</v>
      </c>
      <c r="Q622" t="s">
        <v>370</v>
      </c>
    </row>
    <row r="623" spans="1:17" ht="14.25" customHeight="1" x14ac:dyDescent="0.2">
      <c r="A623" s="584" t="s">
        <v>115</v>
      </c>
      <c r="B623" s="110">
        <f t="shared" si="11"/>
        <v>3.62</v>
      </c>
      <c r="C623" s="575">
        <v>46056</v>
      </c>
      <c r="D623" s="569">
        <v>46058</v>
      </c>
      <c r="E623" s="569">
        <v>46058</v>
      </c>
      <c r="F623" t="s">
        <v>968</v>
      </c>
      <c r="G623" t="s">
        <v>370</v>
      </c>
      <c r="H623" t="s">
        <v>367</v>
      </c>
      <c r="I623" t="s">
        <v>368</v>
      </c>
      <c r="J623" t="s">
        <v>1776</v>
      </c>
      <c r="K623" t="s">
        <v>1417</v>
      </c>
      <c r="L623" t="s">
        <v>1400</v>
      </c>
      <c r="M623" t="s">
        <v>2662</v>
      </c>
      <c r="N623" t="s">
        <v>741</v>
      </c>
      <c r="O623" t="s">
        <v>2663</v>
      </c>
      <c r="P623" t="s">
        <v>2655</v>
      </c>
      <c r="Q623" t="s">
        <v>370</v>
      </c>
    </row>
    <row r="624" spans="1:17" ht="14.25" customHeight="1" x14ac:dyDescent="0.2">
      <c r="A624" s="584" t="s">
        <v>115</v>
      </c>
      <c r="B624" s="110">
        <f t="shared" si="11"/>
        <v>3.6</v>
      </c>
      <c r="C624" s="575">
        <v>46056</v>
      </c>
      <c r="D624" s="569">
        <v>46058</v>
      </c>
      <c r="E624" s="569">
        <v>46058</v>
      </c>
      <c r="F624" t="s">
        <v>1914</v>
      </c>
      <c r="G624" t="s">
        <v>370</v>
      </c>
      <c r="H624" t="s">
        <v>367</v>
      </c>
      <c r="I624" t="s">
        <v>368</v>
      </c>
      <c r="J624" t="s">
        <v>1776</v>
      </c>
      <c r="K624" t="s">
        <v>1399</v>
      </c>
      <c r="L624" t="s">
        <v>1777</v>
      </c>
      <c r="M624" t="s">
        <v>2664</v>
      </c>
      <c r="N624" t="s">
        <v>747</v>
      </c>
      <c r="O624" t="s">
        <v>2665</v>
      </c>
      <c r="P624" t="s">
        <v>2655</v>
      </c>
      <c r="Q624" t="s">
        <v>370</v>
      </c>
    </row>
    <row r="625" spans="1:17" ht="14.25" customHeight="1" x14ac:dyDescent="0.2">
      <c r="A625" s="584" t="s">
        <v>115</v>
      </c>
      <c r="B625" s="110">
        <f t="shared" si="11"/>
        <v>7.5</v>
      </c>
      <c r="C625" s="575">
        <v>46056</v>
      </c>
      <c r="D625" s="569">
        <v>46058</v>
      </c>
      <c r="E625" s="569">
        <v>46058</v>
      </c>
      <c r="F625" t="s">
        <v>2001</v>
      </c>
      <c r="G625" t="s">
        <v>370</v>
      </c>
      <c r="H625" t="s">
        <v>367</v>
      </c>
      <c r="I625" t="s">
        <v>368</v>
      </c>
      <c r="J625" t="s">
        <v>1882</v>
      </c>
      <c r="K625" t="s">
        <v>766</v>
      </c>
      <c r="L625" t="s">
        <v>2666</v>
      </c>
      <c r="M625" t="s">
        <v>2667</v>
      </c>
      <c r="N625" t="s">
        <v>747</v>
      </c>
      <c r="O625" t="s">
        <v>2668</v>
      </c>
      <c r="P625" t="s">
        <v>2655</v>
      </c>
      <c r="Q625" t="s">
        <v>370</v>
      </c>
    </row>
    <row r="626" spans="1:17" ht="14.25" customHeight="1" x14ac:dyDescent="0.2">
      <c r="A626" s="584" t="s">
        <v>115</v>
      </c>
      <c r="B626" s="110">
        <f t="shared" si="11"/>
        <v>3.6</v>
      </c>
      <c r="C626" s="575">
        <v>46056</v>
      </c>
      <c r="D626" s="569">
        <v>46058</v>
      </c>
      <c r="E626" s="569">
        <v>46058</v>
      </c>
      <c r="F626" t="s">
        <v>877</v>
      </c>
      <c r="G626" t="s">
        <v>370</v>
      </c>
      <c r="H626" t="s">
        <v>367</v>
      </c>
      <c r="I626" t="s">
        <v>368</v>
      </c>
      <c r="J626" t="s">
        <v>1776</v>
      </c>
      <c r="K626" t="s">
        <v>1399</v>
      </c>
      <c r="L626" t="s">
        <v>1777</v>
      </c>
      <c r="M626" t="s">
        <v>2669</v>
      </c>
      <c r="N626" t="s">
        <v>747</v>
      </c>
      <c r="O626" t="s">
        <v>2670</v>
      </c>
      <c r="P626" t="s">
        <v>2655</v>
      </c>
      <c r="Q626" t="s">
        <v>370</v>
      </c>
    </row>
    <row r="627" spans="1:17" ht="14.25" customHeight="1" x14ac:dyDescent="0.2">
      <c r="A627" s="584" t="s">
        <v>115</v>
      </c>
      <c r="B627" s="110">
        <f t="shared" si="11"/>
        <v>3.62</v>
      </c>
      <c r="C627" s="575">
        <v>46056</v>
      </c>
      <c r="D627" s="569">
        <v>46058</v>
      </c>
      <c r="E627" s="569">
        <v>46058</v>
      </c>
      <c r="F627" t="s">
        <v>1265</v>
      </c>
      <c r="G627" t="s">
        <v>370</v>
      </c>
      <c r="H627" t="s">
        <v>367</v>
      </c>
      <c r="I627" t="s">
        <v>368</v>
      </c>
      <c r="J627" t="s">
        <v>1776</v>
      </c>
      <c r="K627" t="s">
        <v>1417</v>
      </c>
      <c r="L627" t="s">
        <v>1400</v>
      </c>
      <c r="M627" t="s">
        <v>2671</v>
      </c>
      <c r="N627" t="s">
        <v>741</v>
      </c>
      <c r="O627" t="s">
        <v>2672</v>
      </c>
      <c r="P627" t="s">
        <v>2655</v>
      </c>
      <c r="Q627" t="s">
        <v>370</v>
      </c>
    </row>
    <row r="628" spans="1:17" ht="14.25" customHeight="1" x14ac:dyDescent="0.2">
      <c r="A628" s="584" t="s">
        <v>115</v>
      </c>
      <c r="B628" s="110">
        <f t="shared" si="11"/>
        <v>3.62</v>
      </c>
      <c r="C628" s="575">
        <v>46056</v>
      </c>
      <c r="D628" s="569">
        <v>46058</v>
      </c>
      <c r="E628" s="569">
        <v>46058</v>
      </c>
      <c r="F628" t="s">
        <v>2673</v>
      </c>
      <c r="G628" t="s">
        <v>370</v>
      </c>
      <c r="H628" t="s">
        <v>367</v>
      </c>
      <c r="I628" t="s">
        <v>368</v>
      </c>
      <c r="J628" t="s">
        <v>1776</v>
      </c>
      <c r="K628" t="s">
        <v>1417</v>
      </c>
      <c r="L628" t="s">
        <v>1400</v>
      </c>
      <c r="M628" t="s">
        <v>2674</v>
      </c>
      <c r="N628" t="s">
        <v>781</v>
      </c>
      <c r="O628" t="s">
        <v>2675</v>
      </c>
      <c r="P628" t="s">
        <v>2655</v>
      </c>
      <c r="Q628" t="s">
        <v>370</v>
      </c>
    </row>
    <row r="629" spans="1:17" ht="14.25" customHeight="1" x14ac:dyDescent="0.2">
      <c r="A629" s="584" t="s">
        <v>115</v>
      </c>
      <c r="B629" s="110">
        <f t="shared" si="11"/>
        <v>3.6</v>
      </c>
      <c r="C629" s="575">
        <v>46056</v>
      </c>
      <c r="D629" s="569">
        <v>46058</v>
      </c>
      <c r="E629" s="569">
        <v>46058</v>
      </c>
      <c r="F629" t="s">
        <v>2676</v>
      </c>
      <c r="G629" t="s">
        <v>370</v>
      </c>
      <c r="H629" t="s">
        <v>367</v>
      </c>
      <c r="I629" t="s">
        <v>368</v>
      </c>
      <c r="J629" t="s">
        <v>1776</v>
      </c>
      <c r="K629" t="s">
        <v>1399</v>
      </c>
      <c r="L629" t="s">
        <v>1777</v>
      </c>
      <c r="M629" t="s">
        <v>2677</v>
      </c>
      <c r="N629" t="s">
        <v>747</v>
      </c>
      <c r="O629" t="s">
        <v>2678</v>
      </c>
      <c r="P629" t="s">
        <v>2655</v>
      </c>
      <c r="Q629" t="s">
        <v>370</v>
      </c>
    </row>
    <row r="630" spans="1:17" ht="14.25" customHeight="1" x14ac:dyDescent="0.2">
      <c r="A630" s="584" t="s">
        <v>115</v>
      </c>
      <c r="B630" s="110">
        <f t="shared" si="11"/>
        <v>3.6</v>
      </c>
      <c r="C630" s="575">
        <v>46056</v>
      </c>
      <c r="D630" s="569">
        <v>46058</v>
      </c>
      <c r="E630" s="569">
        <v>46058</v>
      </c>
      <c r="F630" t="s">
        <v>2679</v>
      </c>
      <c r="G630" t="s">
        <v>370</v>
      </c>
      <c r="H630" t="s">
        <v>367</v>
      </c>
      <c r="I630" t="s">
        <v>368</v>
      </c>
      <c r="J630" t="s">
        <v>1776</v>
      </c>
      <c r="K630" t="s">
        <v>1399</v>
      </c>
      <c r="L630" t="s">
        <v>1777</v>
      </c>
      <c r="M630" t="s">
        <v>2680</v>
      </c>
      <c r="N630" t="s">
        <v>747</v>
      </c>
      <c r="O630" t="s">
        <v>2681</v>
      </c>
      <c r="P630" t="s">
        <v>2655</v>
      </c>
      <c r="Q630" t="s">
        <v>370</v>
      </c>
    </row>
    <row r="631" spans="1:17" ht="14.25" customHeight="1" x14ac:dyDescent="0.2">
      <c r="A631" s="584" t="s">
        <v>115</v>
      </c>
      <c r="B631" s="110">
        <f t="shared" si="11"/>
        <v>3.58</v>
      </c>
      <c r="C631" s="575">
        <v>46056</v>
      </c>
      <c r="D631" s="569">
        <v>46058</v>
      </c>
      <c r="E631" s="569">
        <v>46058</v>
      </c>
      <c r="F631" t="s">
        <v>2682</v>
      </c>
      <c r="G631" t="s">
        <v>370</v>
      </c>
      <c r="H631" t="s">
        <v>367</v>
      </c>
      <c r="I631" t="s">
        <v>368</v>
      </c>
      <c r="J631" t="s">
        <v>1776</v>
      </c>
      <c r="K631" t="s">
        <v>2683</v>
      </c>
      <c r="L631" t="s">
        <v>2684</v>
      </c>
      <c r="M631" t="s">
        <v>2685</v>
      </c>
      <c r="N631" t="s">
        <v>741</v>
      </c>
      <c r="O631" t="s">
        <v>2686</v>
      </c>
      <c r="P631" t="s">
        <v>2655</v>
      </c>
      <c r="Q631" t="s">
        <v>370</v>
      </c>
    </row>
    <row r="632" spans="1:17" ht="14.25" customHeight="1" x14ac:dyDescent="0.2">
      <c r="A632" s="584" t="s">
        <v>115</v>
      </c>
      <c r="B632" s="110">
        <f t="shared" si="11"/>
        <v>3.62</v>
      </c>
      <c r="C632" s="575">
        <v>46056</v>
      </c>
      <c r="D632" s="569">
        <v>46058</v>
      </c>
      <c r="E632" s="569">
        <v>46058</v>
      </c>
      <c r="F632" t="s">
        <v>2687</v>
      </c>
      <c r="G632" t="s">
        <v>370</v>
      </c>
      <c r="H632" t="s">
        <v>367</v>
      </c>
      <c r="I632" t="s">
        <v>368</v>
      </c>
      <c r="J632" t="s">
        <v>1776</v>
      </c>
      <c r="K632" t="s">
        <v>1417</v>
      </c>
      <c r="L632" t="s">
        <v>1400</v>
      </c>
      <c r="M632" t="s">
        <v>2688</v>
      </c>
      <c r="N632" t="s">
        <v>741</v>
      </c>
      <c r="O632" t="s">
        <v>2689</v>
      </c>
      <c r="P632" t="s">
        <v>2655</v>
      </c>
      <c r="Q632" t="s">
        <v>370</v>
      </c>
    </row>
    <row r="633" spans="1:17" ht="14.25" customHeight="1" x14ac:dyDescent="0.2">
      <c r="A633" s="584" t="s">
        <v>115</v>
      </c>
      <c r="B633" s="110">
        <f t="shared" si="11"/>
        <v>7.5</v>
      </c>
      <c r="C633" s="575">
        <v>46056</v>
      </c>
      <c r="D633" s="569">
        <v>46058</v>
      </c>
      <c r="E633" s="569">
        <v>46058</v>
      </c>
      <c r="F633" t="s">
        <v>2690</v>
      </c>
      <c r="G633" t="s">
        <v>370</v>
      </c>
      <c r="H633" t="s">
        <v>367</v>
      </c>
      <c r="I633" t="s">
        <v>368</v>
      </c>
      <c r="J633" t="s">
        <v>1882</v>
      </c>
      <c r="K633" t="s">
        <v>766</v>
      </c>
      <c r="L633" t="s">
        <v>2666</v>
      </c>
      <c r="M633" t="s">
        <v>2691</v>
      </c>
      <c r="N633" t="s">
        <v>747</v>
      </c>
      <c r="O633" t="s">
        <v>2692</v>
      </c>
      <c r="P633" t="s">
        <v>2655</v>
      </c>
      <c r="Q633" t="s">
        <v>370</v>
      </c>
    </row>
    <row r="634" spans="1:17" ht="14.25" customHeight="1" x14ac:dyDescent="0.2">
      <c r="A634" s="584" t="s">
        <v>115</v>
      </c>
      <c r="B634" s="110">
        <f t="shared" si="11"/>
        <v>3.62</v>
      </c>
      <c r="C634" s="575">
        <v>46056</v>
      </c>
      <c r="D634" s="569">
        <v>46058</v>
      </c>
      <c r="E634" s="569">
        <v>46058</v>
      </c>
      <c r="F634" t="s">
        <v>2693</v>
      </c>
      <c r="G634" t="s">
        <v>370</v>
      </c>
      <c r="H634" t="s">
        <v>367</v>
      </c>
      <c r="I634" t="s">
        <v>368</v>
      </c>
      <c r="J634" t="s">
        <v>1776</v>
      </c>
      <c r="K634" t="s">
        <v>1417</v>
      </c>
      <c r="L634" t="s">
        <v>1400</v>
      </c>
      <c r="M634" t="s">
        <v>2694</v>
      </c>
      <c r="N634" t="s">
        <v>741</v>
      </c>
      <c r="O634" t="s">
        <v>2695</v>
      </c>
      <c r="P634" t="s">
        <v>2655</v>
      </c>
      <c r="Q634" t="s">
        <v>370</v>
      </c>
    </row>
    <row r="635" spans="1:17" ht="14.25" customHeight="1" x14ac:dyDescent="0.2">
      <c r="A635" s="584" t="s">
        <v>115</v>
      </c>
      <c r="B635" s="110">
        <f t="shared" si="11"/>
        <v>3.62</v>
      </c>
      <c r="C635" s="575">
        <v>46056</v>
      </c>
      <c r="D635" s="569">
        <v>46058</v>
      </c>
      <c r="E635" s="569">
        <v>46058</v>
      </c>
      <c r="F635" t="s">
        <v>2563</v>
      </c>
      <c r="G635" t="s">
        <v>370</v>
      </c>
      <c r="H635" t="s">
        <v>367</v>
      </c>
      <c r="I635" t="s">
        <v>368</v>
      </c>
      <c r="J635" t="s">
        <v>1776</v>
      </c>
      <c r="K635" t="s">
        <v>1417</v>
      </c>
      <c r="L635" t="s">
        <v>1400</v>
      </c>
      <c r="M635" t="s">
        <v>2696</v>
      </c>
      <c r="N635" t="s">
        <v>741</v>
      </c>
      <c r="O635" t="s">
        <v>2697</v>
      </c>
      <c r="P635" t="s">
        <v>2655</v>
      </c>
      <c r="Q635" t="s">
        <v>370</v>
      </c>
    </row>
    <row r="636" spans="1:17" ht="14.25" customHeight="1" x14ac:dyDescent="0.2">
      <c r="A636" s="584" t="s">
        <v>115</v>
      </c>
      <c r="B636" s="110">
        <f t="shared" si="11"/>
        <v>3.62</v>
      </c>
      <c r="C636" s="575">
        <v>46056</v>
      </c>
      <c r="D636" s="569">
        <v>46058</v>
      </c>
      <c r="E636" s="569">
        <v>46058</v>
      </c>
      <c r="F636" t="s">
        <v>2698</v>
      </c>
      <c r="G636" t="s">
        <v>2698</v>
      </c>
      <c r="H636" t="s">
        <v>367</v>
      </c>
      <c r="I636" t="s">
        <v>368</v>
      </c>
      <c r="J636" t="s">
        <v>1776</v>
      </c>
      <c r="K636" t="s">
        <v>1417</v>
      </c>
      <c r="L636" t="s">
        <v>1400</v>
      </c>
      <c r="M636" t="s">
        <v>2699</v>
      </c>
      <c r="N636" t="s">
        <v>369</v>
      </c>
      <c r="O636" t="s">
        <v>2700</v>
      </c>
      <c r="P636" t="s">
        <v>2655</v>
      </c>
      <c r="Q636" t="s">
        <v>370</v>
      </c>
    </row>
    <row r="637" spans="1:17" ht="14.25" customHeight="1" x14ac:dyDescent="0.2">
      <c r="A637" s="584" t="s">
        <v>115</v>
      </c>
      <c r="B637" s="110">
        <f t="shared" si="11"/>
        <v>3.6</v>
      </c>
      <c r="C637" s="575">
        <v>46056</v>
      </c>
      <c r="D637" s="569">
        <v>46058</v>
      </c>
      <c r="E637" s="569">
        <v>46058</v>
      </c>
      <c r="F637" t="s">
        <v>2701</v>
      </c>
      <c r="G637" t="s">
        <v>370</v>
      </c>
      <c r="H637" t="s">
        <v>367</v>
      </c>
      <c r="I637" t="s">
        <v>368</v>
      </c>
      <c r="J637" t="s">
        <v>1776</v>
      </c>
      <c r="K637" t="s">
        <v>1399</v>
      </c>
      <c r="L637" t="s">
        <v>1777</v>
      </c>
      <c r="M637" t="s">
        <v>2702</v>
      </c>
      <c r="N637" t="s">
        <v>747</v>
      </c>
      <c r="O637" t="s">
        <v>2703</v>
      </c>
      <c r="P637" t="s">
        <v>2655</v>
      </c>
      <c r="Q637" t="s">
        <v>370</v>
      </c>
    </row>
    <row r="638" spans="1:17" ht="14.25" customHeight="1" x14ac:dyDescent="0.2">
      <c r="A638" s="584" t="s">
        <v>115</v>
      </c>
      <c r="B638" s="110">
        <f t="shared" si="11"/>
        <v>7.5</v>
      </c>
      <c r="C638" s="575">
        <v>46056</v>
      </c>
      <c r="D638" s="569">
        <v>46058</v>
      </c>
      <c r="E638" s="569">
        <v>46058</v>
      </c>
      <c r="F638" t="s">
        <v>1131</v>
      </c>
      <c r="G638" t="s">
        <v>370</v>
      </c>
      <c r="H638" t="s">
        <v>367</v>
      </c>
      <c r="I638" t="s">
        <v>368</v>
      </c>
      <c r="J638" t="s">
        <v>1882</v>
      </c>
      <c r="K638" t="s">
        <v>766</v>
      </c>
      <c r="L638" t="s">
        <v>2666</v>
      </c>
      <c r="M638" t="s">
        <v>2704</v>
      </c>
      <c r="N638" t="s">
        <v>747</v>
      </c>
      <c r="O638" t="s">
        <v>2705</v>
      </c>
      <c r="P638" t="s">
        <v>2655</v>
      </c>
      <c r="Q638" t="s">
        <v>370</v>
      </c>
    </row>
    <row r="639" spans="1:17" ht="14.25" customHeight="1" x14ac:dyDescent="0.2">
      <c r="A639" s="584" t="s">
        <v>115</v>
      </c>
      <c r="B639" s="110">
        <f t="shared" si="11"/>
        <v>3.62</v>
      </c>
      <c r="C639" s="575">
        <v>46056</v>
      </c>
      <c r="D639" s="569">
        <v>46058</v>
      </c>
      <c r="E639" s="569">
        <v>46058</v>
      </c>
      <c r="F639" t="s">
        <v>1431</v>
      </c>
      <c r="G639" t="s">
        <v>370</v>
      </c>
      <c r="H639" t="s">
        <v>367</v>
      </c>
      <c r="I639" t="s">
        <v>368</v>
      </c>
      <c r="J639" t="s">
        <v>1776</v>
      </c>
      <c r="K639" t="s">
        <v>1417</v>
      </c>
      <c r="L639" t="s">
        <v>1400</v>
      </c>
      <c r="M639" t="s">
        <v>2706</v>
      </c>
      <c r="N639" t="s">
        <v>741</v>
      </c>
      <c r="O639" t="s">
        <v>2707</v>
      </c>
      <c r="P639" t="s">
        <v>2655</v>
      </c>
      <c r="Q639" t="s">
        <v>370</v>
      </c>
    </row>
    <row r="640" spans="1:17" ht="14.25" customHeight="1" x14ac:dyDescent="0.2">
      <c r="A640" s="584" t="s">
        <v>115</v>
      </c>
      <c r="B640" s="110">
        <f t="shared" si="11"/>
        <v>3.62</v>
      </c>
      <c r="C640" s="575">
        <v>46056</v>
      </c>
      <c r="D640" s="569">
        <v>46058</v>
      </c>
      <c r="E640" s="569">
        <v>46058</v>
      </c>
      <c r="F640" t="s">
        <v>2488</v>
      </c>
      <c r="G640" t="s">
        <v>370</v>
      </c>
      <c r="H640" t="s">
        <v>367</v>
      </c>
      <c r="I640" t="s">
        <v>368</v>
      </c>
      <c r="J640" t="s">
        <v>1776</v>
      </c>
      <c r="K640" t="s">
        <v>1417</v>
      </c>
      <c r="L640" t="s">
        <v>1400</v>
      </c>
      <c r="M640" t="s">
        <v>2708</v>
      </c>
      <c r="N640" t="s">
        <v>741</v>
      </c>
      <c r="O640" t="s">
        <v>2709</v>
      </c>
      <c r="P640" t="s">
        <v>2655</v>
      </c>
      <c r="Q640" t="s">
        <v>370</v>
      </c>
    </row>
    <row r="641" spans="1:17" ht="14.25" customHeight="1" x14ac:dyDescent="0.2">
      <c r="A641" s="584" t="s">
        <v>115</v>
      </c>
      <c r="B641" s="110">
        <f t="shared" si="11"/>
        <v>3.62</v>
      </c>
      <c r="C641" s="575">
        <v>46056</v>
      </c>
      <c r="D641" s="569">
        <v>46058</v>
      </c>
      <c r="E641" s="569">
        <v>46058</v>
      </c>
      <c r="F641" t="s">
        <v>1096</v>
      </c>
      <c r="G641" t="s">
        <v>370</v>
      </c>
      <c r="H641" t="s">
        <v>367</v>
      </c>
      <c r="I641" t="s">
        <v>368</v>
      </c>
      <c r="J641" t="s">
        <v>1776</v>
      </c>
      <c r="K641" t="s">
        <v>1417</v>
      </c>
      <c r="L641" t="s">
        <v>1400</v>
      </c>
      <c r="M641" t="s">
        <v>2710</v>
      </c>
      <c r="N641" t="s">
        <v>741</v>
      </c>
      <c r="O641" t="s">
        <v>2711</v>
      </c>
      <c r="P641" t="s">
        <v>2655</v>
      </c>
      <c r="Q641" t="s">
        <v>370</v>
      </c>
    </row>
    <row r="642" spans="1:17" ht="14.25" customHeight="1" x14ac:dyDescent="0.2">
      <c r="A642" s="584" t="s">
        <v>115</v>
      </c>
      <c r="B642" s="110">
        <f t="shared" si="11"/>
        <v>3.62</v>
      </c>
      <c r="C642" s="575">
        <v>46056</v>
      </c>
      <c r="D642" s="569">
        <v>46058</v>
      </c>
      <c r="E642" s="569">
        <v>46058</v>
      </c>
      <c r="F642" t="s">
        <v>2712</v>
      </c>
      <c r="G642" t="s">
        <v>2713</v>
      </c>
      <c r="H642" t="s">
        <v>367</v>
      </c>
      <c r="I642" t="s">
        <v>368</v>
      </c>
      <c r="J642" t="s">
        <v>1776</v>
      </c>
      <c r="K642" t="s">
        <v>1417</v>
      </c>
      <c r="L642" t="s">
        <v>1400</v>
      </c>
      <c r="M642" t="s">
        <v>2714</v>
      </c>
      <c r="N642" t="s">
        <v>369</v>
      </c>
      <c r="O642" t="s">
        <v>2715</v>
      </c>
      <c r="P642" t="s">
        <v>2655</v>
      </c>
      <c r="Q642" t="s">
        <v>370</v>
      </c>
    </row>
    <row r="643" spans="1:17" ht="14.25" customHeight="1" x14ac:dyDescent="0.2">
      <c r="A643" s="584" t="s">
        <v>115</v>
      </c>
      <c r="B643" s="110">
        <f t="shared" si="11"/>
        <v>3.6</v>
      </c>
      <c r="C643" s="575">
        <v>46056</v>
      </c>
      <c r="D643" s="569">
        <v>46058</v>
      </c>
      <c r="E643" s="569">
        <v>46058</v>
      </c>
      <c r="F643" t="s">
        <v>1698</v>
      </c>
      <c r="G643" t="s">
        <v>370</v>
      </c>
      <c r="H643" t="s">
        <v>367</v>
      </c>
      <c r="I643" t="s">
        <v>368</v>
      </c>
      <c r="J643" t="s">
        <v>1776</v>
      </c>
      <c r="K643" t="s">
        <v>1399</v>
      </c>
      <c r="L643" t="s">
        <v>1777</v>
      </c>
      <c r="M643" t="s">
        <v>2716</v>
      </c>
      <c r="N643" t="s">
        <v>747</v>
      </c>
      <c r="O643" t="s">
        <v>2717</v>
      </c>
      <c r="P643" t="s">
        <v>2655</v>
      </c>
      <c r="Q643" t="s">
        <v>370</v>
      </c>
    </row>
    <row r="644" spans="1:17" ht="14.25" customHeight="1" x14ac:dyDescent="0.2">
      <c r="A644" s="584" t="s">
        <v>115</v>
      </c>
      <c r="B644" s="110">
        <f t="shared" si="11"/>
        <v>3.62</v>
      </c>
      <c r="C644" s="575">
        <v>46056</v>
      </c>
      <c r="D644" s="569">
        <v>46058</v>
      </c>
      <c r="E644" s="569">
        <v>46058</v>
      </c>
      <c r="F644" t="s">
        <v>921</v>
      </c>
      <c r="G644" t="s">
        <v>370</v>
      </c>
      <c r="H644" t="s">
        <v>367</v>
      </c>
      <c r="I644" t="s">
        <v>368</v>
      </c>
      <c r="J644" t="s">
        <v>1776</v>
      </c>
      <c r="K644" t="s">
        <v>1417</v>
      </c>
      <c r="L644" t="s">
        <v>1400</v>
      </c>
      <c r="M644" t="s">
        <v>2718</v>
      </c>
      <c r="N644" t="s">
        <v>741</v>
      </c>
      <c r="O644" t="s">
        <v>2719</v>
      </c>
      <c r="P644" t="s">
        <v>2655</v>
      </c>
      <c r="Q644" t="s">
        <v>370</v>
      </c>
    </row>
    <row r="645" spans="1:17" ht="14.25" customHeight="1" x14ac:dyDescent="0.2">
      <c r="A645" s="584" t="s">
        <v>115</v>
      </c>
      <c r="B645" s="110">
        <f t="shared" si="11"/>
        <v>3.62</v>
      </c>
      <c r="C645" s="575">
        <v>46056</v>
      </c>
      <c r="D645" s="569">
        <v>46058</v>
      </c>
      <c r="E645" s="569">
        <v>46058</v>
      </c>
      <c r="F645" t="s">
        <v>946</v>
      </c>
      <c r="G645" t="s">
        <v>370</v>
      </c>
      <c r="H645" t="s">
        <v>367</v>
      </c>
      <c r="I645" t="s">
        <v>368</v>
      </c>
      <c r="J645" t="s">
        <v>1776</v>
      </c>
      <c r="K645" t="s">
        <v>1417</v>
      </c>
      <c r="L645" t="s">
        <v>1400</v>
      </c>
      <c r="M645" t="s">
        <v>2720</v>
      </c>
      <c r="N645" t="s">
        <v>741</v>
      </c>
      <c r="O645" t="s">
        <v>2721</v>
      </c>
      <c r="P645" t="s">
        <v>2655</v>
      </c>
      <c r="Q645" t="s">
        <v>370</v>
      </c>
    </row>
    <row r="646" spans="1:17" ht="14.25" customHeight="1" x14ac:dyDescent="0.2">
      <c r="A646" s="584" t="s">
        <v>115</v>
      </c>
      <c r="B646" s="110">
        <f t="shared" si="11"/>
        <v>3.6</v>
      </c>
      <c r="C646" s="575">
        <v>46056</v>
      </c>
      <c r="D646" s="569">
        <v>46058</v>
      </c>
      <c r="E646" s="569">
        <v>46058</v>
      </c>
      <c r="F646" t="s">
        <v>810</v>
      </c>
      <c r="G646" t="s">
        <v>370</v>
      </c>
      <c r="H646" t="s">
        <v>367</v>
      </c>
      <c r="I646" t="s">
        <v>368</v>
      </c>
      <c r="J646" t="s">
        <v>1776</v>
      </c>
      <c r="K646" t="s">
        <v>1399</v>
      </c>
      <c r="L646" t="s">
        <v>1777</v>
      </c>
      <c r="M646" t="s">
        <v>2722</v>
      </c>
      <c r="N646" t="s">
        <v>747</v>
      </c>
      <c r="O646" t="s">
        <v>2723</v>
      </c>
      <c r="P646" t="s">
        <v>2655</v>
      </c>
      <c r="Q646" t="s">
        <v>370</v>
      </c>
    </row>
    <row r="647" spans="1:17" ht="14.25" customHeight="1" x14ac:dyDescent="0.2">
      <c r="A647" s="584" t="s">
        <v>115</v>
      </c>
      <c r="B647" s="110">
        <f t="shared" si="11"/>
        <v>3.6</v>
      </c>
      <c r="C647" s="575">
        <v>46056</v>
      </c>
      <c r="D647" s="569">
        <v>46058</v>
      </c>
      <c r="E647" s="569">
        <v>46058</v>
      </c>
      <c r="F647" t="s">
        <v>2569</v>
      </c>
      <c r="G647" t="s">
        <v>370</v>
      </c>
      <c r="H647" t="s">
        <v>367</v>
      </c>
      <c r="I647" t="s">
        <v>368</v>
      </c>
      <c r="J647" t="s">
        <v>1776</v>
      </c>
      <c r="K647" t="s">
        <v>1399</v>
      </c>
      <c r="L647" t="s">
        <v>1777</v>
      </c>
      <c r="M647" s="574" t="s">
        <v>2724</v>
      </c>
      <c r="N647" t="s">
        <v>747</v>
      </c>
      <c r="O647" t="s">
        <v>2725</v>
      </c>
      <c r="P647" t="s">
        <v>2655</v>
      </c>
      <c r="Q647" t="s">
        <v>370</v>
      </c>
    </row>
    <row r="648" spans="1:17" ht="14.25" customHeight="1" x14ac:dyDescent="0.2">
      <c r="A648" s="584" t="s">
        <v>115</v>
      </c>
      <c r="B648" s="110">
        <f t="shared" si="11"/>
        <v>3.62</v>
      </c>
      <c r="C648" s="575">
        <v>46056</v>
      </c>
      <c r="D648" s="569">
        <v>46058</v>
      </c>
      <c r="E648" s="569">
        <v>46058</v>
      </c>
      <c r="F648" t="s">
        <v>2726</v>
      </c>
      <c r="G648" t="s">
        <v>370</v>
      </c>
      <c r="H648" t="s">
        <v>367</v>
      </c>
      <c r="I648" t="s">
        <v>368</v>
      </c>
      <c r="J648" t="s">
        <v>1776</v>
      </c>
      <c r="K648" t="s">
        <v>1417</v>
      </c>
      <c r="L648" t="s">
        <v>1400</v>
      </c>
      <c r="M648" t="s">
        <v>2727</v>
      </c>
      <c r="N648" t="s">
        <v>741</v>
      </c>
      <c r="O648" t="s">
        <v>2728</v>
      </c>
      <c r="P648" t="s">
        <v>2655</v>
      </c>
      <c r="Q648" t="s">
        <v>370</v>
      </c>
    </row>
    <row r="649" spans="1:17" ht="14.25" customHeight="1" x14ac:dyDescent="0.2">
      <c r="A649" s="584" t="s">
        <v>115</v>
      </c>
      <c r="B649" s="110">
        <f t="shared" si="11"/>
        <v>3.6</v>
      </c>
      <c r="C649" s="575">
        <v>46056</v>
      </c>
      <c r="D649" s="569">
        <v>46058</v>
      </c>
      <c r="E649" s="569">
        <v>46058</v>
      </c>
      <c r="F649" t="s">
        <v>2729</v>
      </c>
      <c r="G649" t="s">
        <v>370</v>
      </c>
      <c r="H649" t="s">
        <v>367</v>
      </c>
      <c r="I649" t="s">
        <v>368</v>
      </c>
      <c r="J649" t="s">
        <v>1776</v>
      </c>
      <c r="K649" t="s">
        <v>1399</v>
      </c>
      <c r="L649" t="s">
        <v>1777</v>
      </c>
      <c r="M649" t="s">
        <v>2730</v>
      </c>
      <c r="N649" t="s">
        <v>747</v>
      </c>
      <c r="O649" t="s">
        <v>2731</v>
      </c>
      <c r="P649" t="s">
        <v>2655</v>
      </c>
      <c r="Q649" t="s">
        <v>370</v>
      </c>
    </row>
    <row r="650" spans="1:17" ht="14.25" customHeight="1" x14ac:dyDescent="0.2">
      <c r="A650" s="584" t="s">
        <v>115</v>
      </c>
      <c r="B650" s="110">
        <f t="shared" si="11"/>
        <v>3.6</v>
      </c>
      <c r="C650" s="575">
        <v>46056</v>
      </c>
      <c r="D650" s="569">
        <v>46058</v>
      </c>
      <c r="E650" s="569">
        <v>46058</v>
      </c>
      <c r="F650" t="s">
        <v>2732</v>
      </c>
      <c r="G650" t="s">
        <v>370</v>
      </c>
      <c r="H650" t="s">
        <v>367</v>
      </c>
      <c r="I650" t="s">
        <v>368</v>
      </c>
      <c r="J650" t="s">
        <v>1776</v>
      </c>
      <c r="K650" t="s">
        <v>1399</v>
      </c>
      <c r="L650" t="s">
        <v>1777</v>
      </c>
      <c r="M650" t="s">
        <v>2733</v>
      </c>
      <c r="N650" t="s">
        <v>747</v>
      </c>
      <c r="O650" t="s">
        <v>2734</v>
      </c>
      <c r="P650" t="s">
        <v>2655</v>
      </c>
      <c r="Q650" t="s">
        <v>370</v>
      </c>
    </row>
    <row r="651" spans="1:17" ht="14.25" customHeight="1" x14ac:dyDescent="0.2">
      <c r="A651" s="584" t="s">
        <v>115</v>
      </c>
      <c r="B651" s="110">
        <f t="shared" si="11"/>
        <v>3.62</v>
      </c>
      <c r="C651" s="575">
        <v>46056</v>
      </c>
      <c r="D651" s="569">
        <v>46058</v>
      </c>
      <c r="E651" s="569">
        <v>46058</v>
      </c>
      <c r="F651" t="s">
        <v>2735</v>
      </c>
      <c r="G651" t="s">
        <v>370</v>
      </c>
      <c r="H651" t="s">
        <v>367</v>
      </c>
      <c r="I651" t="s">
        <v>368</v>
      </c>
      <c r="J651" t="s">
        <v>1776</v>
      </c>
      <c r="K651" t="s">
        <v>1417</v>
      </c>
      <c r="L651" t="s">
        <v>1400</v>
      </c>
      <c r="M651" t="s">
        <v>2736</v>
      </c>
      <c r="N651" t="s">
        <v>741</v>
      </c>
      <c r="O651" t="s">
        <v>2737</v>
      </c>
      <c r="P651" t="s">
        <v>2655</v>
      </c>
      <c r="Q651" t="s">
        <v>370</v>
      </c>
    </row>
    <row r="652" spans="1:17" ht="14.25" customHeight="1" x14ac:dyDescent="0.2">
      <c r="A652" s="584" t="s">
        <v>115</v>
      </c>
      <c r="B652" s="110">
        <f t="shared" si="11"/>
        <v>3.6</v>
      </c>
      <c r="C652" s="575">
        <v>46056</v>
      </c>
      <c r="D652" s="569">
        <v>46058</v>
      </c>
      <c r="E652" s="569">
        <v>46058</v>
      </c>
      <c r="F652" t="s">
        <v>2738</v>
      </c>
      <c r="G652" t="s">
        <v>370</v>
      </c>
      <c r="H652" t="s">
        <v>367</v>
      </c>
      <c r="I652" t="s">
        <v>368</v>
      </c>
      <c r="J652" t="s">
        <v>1776</v>
      </c>
      <c r="K652" t="s">
        <v>1399</v>
      </c>
      <c r="L652" t="s">
        <v>1777</v>
      </c>
      <c r="M652" t="s">
        <v>2739</v>
      </c>
      <c r="N652" t="s">
        <v>747</v>
      </c>
      <c r="O652" t="s">
        <v>2740</v>
      </c>
      <c r="P652" t="s">
        <v>2655</v>
      </c>
      <c r="Q652" t="s">
        <v>370</v>
      </c>
    </row>
    <row r="653" spans="1:17" ht="14.25" customHeight="1" x14ac:dyDescent="0.2">
      <c r="A653" s="584" t="s">
        <v>115</v>
      </c>
      <c r="B653" s="110">
        <f t="shared" si="11"/>
        <v>3.6</v>
      </c>
      <c r="C653" s="575">
        <v>46056</v>
      </c>
      <c r="D653" s="569">
        <v>46058</v>
      </c>
      <c r="E653" s="569">
        <v>46058</v>
      </c>
      <c r="F653" t="s">
        <v>903</v>
      </c>
      <c r="G653" t="s">
        <v>370</v>
      </c>
      <c r="H653" t="s">
        <v>367</v>
      </c>
      <c r="I653" t="s">
        <v>368</v>
      </c>
      <c r="J653" t="s">
        <v>1776</v>
      </c>
      <c r="K653" t="s">
        <v>1399</v>
      </c>
      <c r="L653" t="s">
        <v>1777</v>
      </c>
      <c r="M653" t="s">
        <v>2741</v>
      </c>
      <c r="N653" t="s">
        <v>747</v>
      </c>
      <c r="O653" t="s">
        <v>2742</v>
      </c>
      <c r="P653" t="s">
        <v>2655</v>
      </c>
      <c r="Q653" t="s">
        <v>370</v>
      </c>
    </row>
    <row r="654" spans="1:17" ht="14.25" customHeight="1" x14ac:dyDescent="0.2">
      <c r="A654" s="584" t="s">
        <v>115</v>
      </c>
      <c r="B654" s="110">
        <f t="shared" si="11"/>
        <v>3.6</v>
      </c>
      <c r="C654" s="575">
        <v>46056</v>
      </c>
      <c r="D654" s="569">
        <v>46058</v>
      </c>
      <c r="E654" s="569">
        <v>46058</v>
      </c>
      <c r="F654" t="s">
        <v>1211</v>
      </c>
      <c r="G654" t="s">
        <v>370</v>
      </c>
      <c r="H654" t="s">
        <v>367</v>
      </c>
      <c r="I654" t="s">
        <v>368</v>
      </c>
      <c r="J654" t="s">
        <v>1776</v>
      </c>
      <c r="K654" t="s">
        <v>1399</v>
      </c>
      <c r="L654" t="s">
        <v>1777</v>
      </c>
      <c r="M654" t="s">
        <v>2743</v>
      </c>
      <c r="N654" t="s">
        <v>747</v>
      </c>
      <c r="O654" t="s">
        <v>2744</v>
      </c>
      <c r="P654" t="s">
        <v>2655</v>
      </c>
      <c r="Q654" t="s">
        <v>370</v>
      </c>
    </row>
    <row r="655" spans="1:17" ht="14.25" customHeight="1" x14ac:dyDescent="0.2">
      <c r="A655" s="584" t="s">
        <v>115</v>
      </c>
      <c r="B655" s="110">
        <f t="shared" si="11"/>
        <v>3.62</v>
      </c>
      <c r="C655" s="575">
        <v>46056</v>
      </c>
      <c r="D655" s="569">
        <v>46058</v>
      </c>
      <c r="E655" s="569">
        <v>46058</v>
      </c>
      <c r="F655" t="s">
        <v>1127</v>
      </c>
      <c r="G655" t="s">
        <v>1128</v>
      </c>
      <c r="H655" t="s">
        <v>367</v>
      </c>
      <c r="I655" t="s">
        <v>368</v>
      </c>
      <c r="J655" t="s">
        <v>1776</v>
      </c>
      <c r="K655" t="s">
        <v>1417</v>
      </c>
      <c r="L655" t="s">
        <v>1400</v>
      </c>
      <c r="M655" t="s">
        <v>2745</v>
      </c>
      <c r="N655" t="s">
        <v>369</v>
      </c>
      <c r="O655" t="s">
        <v>2746</v>
      </c>
      <c r="P655" t="s">
        <v>2655</v>
      </c>
      <c r="Q655" t="s">
        <v>370</v>
      </c>
    </row>
    <row r="656" spans="1:17" ht="14.25" customHeight="1" x14ac:dyDescent="0.2">
      <c r="A656" s="584" t="s">
        <v>115</v>
      </c>
      <c r="B656" s="110">
        <f t="shared" si="11"/>
        <v>3.62</v>
      </c>
      <c r="C656" s="575">
        <v>46056</v>
      </c>
      <c r="D656" s="569">
        <v>46058</v>
      </c>
      <c r="E656" s="569">
        <v>46058</v>
      </c>
      <c r="F656" t="s">
        <v>1629</v>
      </c>
      <c r="G656" t="s">
        <v>370</v>
      </c>
      <c r="H656" t="s">
        <v>367</v>
      </c>
      <c r="I656" t="s">
        <v>368</v>
      </c>
      <c r="J656" t="s">
        <v>1776</v>
      </c>
      <c r="K656" t="s">
        <v>1417</v>
      </c>
      <c r="L656" t="s">
        <v>1400</v>
      </c>
      <c r="M656" t="s">
        <v>2747</v>
      </c>
      <c r="N656" t="s">
        <v>741</v>
      </c>
      <c r="O656" t="s">
        <v>2748</v>
      </c>
      <c r="P656" t="s">
        <v>2655</v>
      </c>
      <c r="Q656" t="s">
        <v>370</v>
      </c>
    </row>
    <row r="657" spans="1:17" ht="14.25" customHeight="1" x14ac:dyDescent="0.2">
      <c r="A657" s="584" t="s">
        <v>115</v>
      </c>
      <c r="B657" s="110">
        <f t="shared" si="11"/>
        <v>7.55</v>
      </c>
      <c r="C657" s="575">
        <v>46056</v>
      </c>
      <c r="D657" s="569">
        <v>46058</v>
      </c>
      <c r="E657" s="569">
        <v>46058</v>
      </c>
      <c r="F657" t="s">
        <v>813</v>
      </c>
      <c r="G657" t="s">
        <v>370</v>
      </c>
      <c r="H657" t="s">
        <v>367</v>
      </c>
      <c r="I657" t="s">
        <v>368</v>
      </c>
      <c r="J657" t="s">
        <v>1882</v>
      </c>
      <c r="K657" t="s">
        <v>1883</v>
      </c>
      <c r="L657" t="s">
        <v>1676</v>
      </c>
      <c r="M657" t="s">
        <v>2749</v>
      </c>
      <c r="N657" t="s">
        <v>741</v>
      </c>
      <c r="O657" t="s">
        <v>2750</v>
      </c>
      <c r="P657" t="s">
        <v>2655</v>
      </c>
      <c r="Q657" t="s">
        <v>370</v>
      </c>
    </row>
    <row r="658" spans="1:17" ht="14.25" customHeight="1" x14ac:dyDescent="0.2">
      <c r="A658" s="584" t="s">
        <v>115</v>
      </c>
      <c r="B658" s="110">
        <f t="shared" si="11"/>
        <v>3.62</v>
      </c>
      <c r="C658" s="575">
        <v>46056</v>
      </c>
      <c r="D658" s="569">
        <v>46058</v>
      </c>
      <c r="E658" s="569">
        <v>46058</v>
      </c>
      <c r="F658" t="s">
        <v>2751</v>
      </c>
      <c r="G658" t="s">
        <v>370</v>
      </c>
      <c r="H658" t="s">
        <v>367</v>
      </c>
      <c r="I658" t="s">
        <v>368</v>
      </c>
      <c r="J658" t="s">
        <v>1776</v>
      </c>
      <c r="K658" t="s">
        <v>1417</v>
      </c>
      <c r="L658" t="s">
        <v>1400</v>
      </c>
      <c r="M658" t="s">
        <v>2752</v>
      </c>
      <c r="N658" t="s">
        <v>741</v>
      </c>
      <c r="O658" t="s">
        <v>2753</v>
      </c>
      <c r="P658" t="s">
        <v>2655</v>
      </c>
      <c r="Q658" t="s">
        <v>370</v>
      </c>
    </row>
    <row r="659" spans="1:17" ht="14.25" customHeight="1" x14ac:dyDescent="0.2">
      <c r="A659" s="584" t="s">
        <v>115</v>
      </c>
      <c r="B659" s="110">
        <f t="shared" si="11"/>
        <v>3.6</v>
      </c>
      <c r="C659" s="575">
        <v>46056</v>
      </c>
      <c r="D659" s="569">
        <v>46058</v>
      </c>
      <c r="E659" s="569">
        <v>46058</v>
      </c>
      <c r="F659" t="s">
        <v>2541</v>
      </c>
      <c r="G659" t="s">
        <v>370</v>
      </c>
      <c r="H659" t="s">
        <v>367</v>
      </c>
      <c r="I659" t="s">
        <v>368</v>
      </c>
      <c r="J659" t="s">
        <v>1776</v>
      </c>
      <c r="K659" t="s">
        <v>1399</v>
      </c>
      <c r="L659" t="s">
        <v>1777</v>
      </c>
      <c r="M659" t="s">
        <v>2754</v>
      </c>
      <c r="N659" t="s">
        <v>747</v>
      </c>
      <c r="O659" t="s">
        <v>2755</v>
      </c>
      <c r="P659" t="s">
        <v>2655</v>
      </c>
      <c r="Q659" t="s">
        <v>370</v>
      </c>
    </row>
    <row r="660" spans="1:17" ht="14.25" customHeight="1" x14ac:dyDescent="0.2">
      <c r="A660" s="584" t="s">
        <v>115</v>
      </c>
      <c r="B660" s="110">
        <f t="shared" si="11"/>
        <v>3.62</v>
      </c>
      <c r="C660" s="575">
        <v>46056</v>
      </c>
      <c r="D660" s="569">
        <v>46058</v>
      </c>
      <c r="E660" s="569">
        <v>46058</v>
      </c>
      <c r="F660" t="s">
        <v>2756</v>
      </c>
      <c r="G660" t="s">
        <v>370</v>
      </c>
      <c r="H660" t="s">
        <v>367</v>
      </c>
      <c r="I660" t="s">
        <v>368</v>
      </c>
      <c r="J660" t="s">
        <v>1776</v>
      </c>
      <c r="K660" t="s">
        <v>1417</v>
      </c>
      <c r="L660" t="s">
        <v>1400</v>
      </c>
      <c r="M660" t="s">
        <v>2757</v>
      </c>
      <c r="N660" t="s">
        <v>741</v>
      </c>
      <c r="O660" t="s">
        <v>2758</v>
      </c>
      <c r="P660" t="s">
        <v>2655</v>
      </c>
      <c r="Q660" t="s">
        <v>370</v>
      </c>
    </row>
    <row r="661" spans="1:17" ht="14.25" customHeight="1" x14ac:dyDescent="0.2">
      <c r="A661" s="584" t="s">
        <v>115</v>
      </c>
      <c r="B661" s="110">
        <f t="shared" si="11"/>
        <v>3.62</v>
      </c>
      <c r="C661" s="575">
        <v>46056</v>
      </c>
      <c r="D661" s="569">
        <v>46058</v>
      </c>
      <c r="E661" s="569">
        <v>46058</v>
      </c>
      <c r="F661" t="s">
        <v>1629</v>
      </c>
      <c r="G661" t="s">
        <v>370</v>
      </c>
      <c r="H661" t="s">
        <v>367</v>
      </c>
      <c r="I661" t="s">
        <v>368</v>
      </c>
      <c r="J661" t="s">
        <v>1776</v>
      </c>
      <c r="K661" t="s">
        <v>1417</v>
      </c>
      <c r="L661" t="s">
        <v>1400</v>
      </c>
      <c r="M661" t="s">
        <v>2759</v>
      </c>
      <c r="N661" t="s">
        <v>741</v>
      </c>
      <c r="O661" t="s">
        <v>2760</v>
      </c>
      <c r="P661" t="s">
        <v>2655</v>
      </c>
      <c r="Q661" t="s">
        <v>370</v>
      </c>
    </row>
    <row r="662" spans="1:17" ht="14.25" customHeight="1" x14ac:dyDescent="0.2">
      <c r="A662" s="584" t="s">
        <v>115</v>
      </c>
      <c r="B662" s="110">
        <f t="shared" ref="B662:B706" si="12">_xlfn.NUMBERVALUE(L662)*0.01</f>
        <v>3.6</v>
      </c>
      <c r="C662" s="575">
        <v>46056</v>
      </c>
      <c r="D662" s="569">
        <v>46058</v>
      </c>
      <c r="E662" s="569">
        <v>46058</v>
      </c>
      <c r="F662" t="s">
        <v>1407</v>
      </c>
      <c r="G662" t="s">
        <v>370</v>
      </c>
      <c r="H662" t="s">
        <v>367</v>
      </c>
      <c r="I662" t="s">
        <v>368</v>
      </c>
      <c r="J662" t="s">
        <v>1776</v>
      </c>
      <c r="K662" t="s">
        <v>1399</v>
      </c>
      <c r="L662" t="s">
        <v>1777</v>
      </c>
      <c r="M662" t="s">
        <v>2761</v>
      </c>
      <c r="N662" t="s">
        <v>747</v>
      </c>
      <c r="O662" t="s">
        <v>2762</v>
      </c>
      <c r="P662" t="s">
        <v>2655</v>
      </c>
      <c r="Q662" t="s">
        <v>370</v>
      </c>
    </row>
    <row r="663" spans="1:17" ht="14.25" customHeight="1" x14ac:dyDescent="0.2">
      <c r="A663" s="584" t="s">
        <v>115</v>
      </c>
      <c r="B663" s="110">
        <f t="shared" si="12"/>
        <v>3.6</v>
      </c>
      <c r="C663" s="575">
        <v>46056</v>
      </c>
      <c r="D663" s="569">
        <v>46058</v>
      </c>
      <c r="E663" s="569">
        <v>46058</v>
      </c>
      <c r="F663" t="s">
        <v>1544</v>
      </c>
      <c r="G663" t="s">
        <v>370</v>
      </c>
      <c r="H663" t="s">
        <v>367</v>
      </c>
      <c r="I663" t="s">
        <v>368</v>
      </c>
      <c r="J663" t="s">
        <v>1776</v>
      </c>
      <c r="K663" t="s">
        <v>1399</v>
      </c>
      <c r="L663" t="s">
        <v>1777</v>
      </c>
      <c r="M663" t="s">
        <v>2763</v>
      </c>
      <c r="N663" t="s">
        <v>747</v>
      </c>
      <c r="O663" t="s">
        <v>2764</v>
      </c>
      <c r="P663" t="s">
        <v>2655</v>
      </c>
      <c r="Q663" t="s">
        <v>370</v>
      </c>
    </row>
    <row r="664" spans="1:17" ht="14.25" customHeight="1" x14ac:dyDescent="0.2">
      <c r="A664" s="584" t="s">
        <v>115</v>
      </c>
      <c r="B664" s="110">
        <f t="shared" si="12"/>
        <v>3.62</v>
      </c>
      <c r="C664" s="575">
        <v>46056</v>
      </c>
      <c r="D664" s="569">
        <v>46058</v>
      </c>
      <c r="E664" s="569">
        <v>46058</v>
      </c>
      <c r="F664" t="s">
        <v>1270</v>
      </c>
      <c r="G664" t="s">
        <v>370</v>
      </c>
      <c r="H664" t="s">
        <v>367</v>
      </c>
      <c r="I664" t="s">
        <v>368</v>
      </c>
      <c r="J664" t="s">
        <v>1776</v>
      </c>
      <c r="K664" t="s">
        <v>1417</v>
      </c>
      <c r="L664" t="s">
        <v>1400</v>
      </c>
      <c r="M664" t="s">
        <v>2765</v>
      </c>
      <c r="N664" t="s">
        <v>741</v>
      </c>
      <c r="O664" t="s">
        <v>2766</v>
      </c>
      <c r="P664" t="s">
        <v>2655</v>
      </c>
      <c r="Q664" t="s">
        <v>370</v>
      </c>
    </row>
    <row r="665" spans="1:17" ht="14.25" customHeight="1" x14ac:dyDescent="0.2">
      <c r="A665" s="584" t="s">
        <v>115</v>
      </c>
      <c r="B665" s="110">
        <f t="shared" si="12"/>
        <v>3.6</v>
      </c>
      <c r="C665" s="575">
        <v>46056</v>
      </c>
      <c r="D665" s="569">
        <v>46058</v>
      </c>
      <c r="E665" s="569">
        <v>46058</v>
      </c>
      <c r="F665" t="s">
        <v>856</v>
      </c>
      <c r="G665" t="s">
        <v>370</v>
      </c>
      <c r="H665" t="s">
        <v>367</v>
      </c>
      <c r="I665" t="s">
        <v>368</v>
      </c>
      <c r="J665" t="s">
        <v>1776</v>
      </c>
      <c r="K665" t="s">
        <v>1399</v>
      </c>
      <c r="L665" t="s">
        <v>1777</v>
      </c>
      <c r="M665" t="s">
        <v>2767</v>
      </c>
      <c r="N665" t="s">
        <v>747</v>
      </c>
      <c r="O665" t="s">
        <v>2768</v>
      </c>
      <c r="P665" t="s">
        <v>2655</v>
      </c>
      <c r="Q665" t="s">
        <v>370</v>
      </c>
    </row>
    <row r="666" spans="1:17" ht="14.25" customHeight="1" x14ac:dyDescent="0.2">
      <c r="A666" s="584" t="s">
        <v>115</v>
      </c>
      <c r="B666" s="110">
        <f t="shared" si="12"/>
        <v>3.62</v>
      </c>
      <c r="C666" s="575">
        <v>46056</v>
      </c>
      <c r="D666" s="569">
        <v>46058</v>
      </c>
      <c r="E666" s="569">
        <v>46058</v>
      </c>
      <c r="F666" t="s">
        <v>2769</v>
      </c>
      <c r="G666" t="s">
        <v>370</v>
      </c>
      <c r="H666" t="s">
        <v>367</v>
      </c>
      <c r="I666" t="s">
        <v>368</v>
      </c>
      <c r="J666" t="s">
        <v>1776</v>
      </c>
      <c r="K666" t="s">
        <v>1417</v>
      </c>
      <c r="L666" t="s">
        <v>1400</v>
      </c>
      <c r="M666" t="s">
        <v>2770</v>
      </c>
      <c r="N666" t="s">
        <v>741</v>
      </c>
      <c r="O666" t="s">
        <v>2771</v>
      </c>
      <c r="P666" t="s">
        <v>2655</v>
      </c>
      <c r="Q666" t="s">
        <v>370</v>
      </c>
    </row>
    <row r="667" spans="1:17" ht="14.25" customHeight="1" x14ac:dyDescent="0.2">
      <c r="A667" s="584" t="s">
        <v>115</v>
      </c>
      <c r="B667" s="110">
        <f t="shared" si="12"/>
        <v>7.5</v>
      </c>
      <c r="C667" s="575">
        <v>46056</v>
      </c>
      <c r="D667" s="569">
        <v>46058</v>
      </c>
      <c r="E667" s="569">
        <v>46058</v>
      </c>
      <c r="F667" t="s">
        <v>940</v>
      </c>
      <c r="G667" t="s">
        <v>370</v>
      </c>
      <c r="H667" t="s">
        <v>367</v>
      </c>
      <c r="I667" t="s">
        <v>368</v>
      </c>
      <c r="J667" t="s">
        <v>1882</v>
      </c>
      <c r="K667" t="s">
        <v>766</v>
      </c>
      <c r="L667" t="s">
        <v>2666</v>
      </c>
      <c r="M667" t="s">
        <v>2772</v>
      </c>
      <c r="N667" t="s">
        <v>747</v>
      </c>
      <c r="O667" t="s">
        <v>2773</v>
      </c>
      <c r="P667" t="s">
        <v>2655</v>
      </c>
      <c r="Q667" t="s">
        <v>370</v>
      </c>
    </row>
    <row r="668" spans="1:17" ht="14.25" customHeight="1" x14ac:dyDescent="0.2">
      <c r="A668" s="584"/>
      <c r="B668" s="110">
        <f t="shared" si="12"/>
        <v>0</v>
      </c>
      <c r="E668" s="87"/>
      <c r="K668" s="110"/>
      <c r="L668" s="111"/>
    </row>
    <row r="669" spans="1:17" ht="14.25" customHeight="1" x14ac:dyDescent="0.2">
      <c r="B669" s="110">
        <f t="shared" si="12"/>
        <v>0</v>
      </c>
      <c r="E669" s="87"/>
      <c r="K669" s="110"/>
      <c r="L669" s="111"/>
    </row>
    <row r="670" spans="1:17" ht="14.25" customHeight="1" x14ac:dyDescent="0.2">
      <c r="B670" s="110">
        <f t="shared" si="12"/>
        <v>0</v>
      </c>
      <c r="E670" s="87"/>
      <c r="K670" s="110"/>
      <c r="L670" s="111"/>
    </row>
    <row r="671" spans="1:17" ht="14.25" customHeight="1" x14ac:dyDescent="0.2">
      <c r="B671" s="110">
        <f t="shared" si="12"/>
        <v>0</v>
      </c>
      <c r="E671" s="87"/>
      <c r="K671" s="110"/>
      <c r="L671" s="111"/>
    </row>
    <row r="672" spans="1:17" ht="14.25" customHeight="1" x14ac:dyDescent="0.2">
      <c r="B672" s="110">
        <f t="shared" si="12"/>
        <v>0</v>
      </c>
      <c r="E672" s="87"/>
      <c r="K672" s="110"/>
      <c r="L672" s="111"/>
    </row>
    <row r="673" spans="2:12" ht="14.25" customHeight="1" x14ac:dyDescent="0.2">
      <c r="B673" s="110">
        <f t="shared" si="12"/>
        <v>0</v>
      </c>
      <c r="E673" s="87"/>
      <c r="K673" s="110"/>
      <c r="L673" s="111"/>
    </row>
    <row r="674" spans="2:12" ht="14.25" customHeight="1" x14ac:dyDescent="0.2">
      <c r="B674" s="110">
        <f t="shared" si="12"/>
        <v>0</v>
      </c>
      <c r="E674" s="87"/>
      <c r="K674" s="110"/>
      <c r="L674" s="111"/>
    </row>
    <row r="675" spans="2:12" ht="14.25" customHeight="1" x14ac:dyDescent="0.2">
      <c r="B675" s="110">
        <f t="shared" si="12"/>
        <v>0</v>
      </c>
      <c r="E675" s="87"/>
      <c r="K675" s="110"/>
      <c r="L675" s="111"/>
    </row>
    <row r="676" spans="2:12" ht="14.25" customHeight="1" x14ac:dyDescent="0.2">
      <c r="B676" s="110">
        <f t="shared" si="12"/>
        <v>0</v>
      </c>
      <c r="E676" s="87"/>
      <c r="K676" s="110"/>
      <c r="L676" s="111"/>
    </row>
    <row r="677" spans="2:12" ht="14.25" customHeight="1" x14ac:dyDescent="0.2">
      <c r="B677" s="110">
        <f t="shared" si="12"/>
        <v>0</v>
      </c>
      <c r="E677" s="87"/>
      <c r="K677" s="110"/>
      <c r="L677" s="111"/>
    </row>
    <row r="678" spans="2:12" ht="14.25" customHeight="1" x14ac:dyDescent="0.2">
      <c r="B678" s="110">
        <f t="shared" si="12"/>
        <v>0</v>
      </c>
      <c r="E678" s="87"/>
      <c r="K678" s="110"/>
      <c r="L678" s="111"/>
    </row>
    <row r="679" spans="2:12" ht="14.25" customHeight="1" x14ac:dyDescent="0.2">
      <c r="B679" s="110">
        <f t="shared" si="12"/>
        <v>0</v>
      </c>
      <c r="E679" s="87"/>
      <c r="K679" s="110"/>
      <c r="L679" s="111"/>
    </row>
    <row r="680" spans="2:12" ht="14.25" customHeight="1" x14ac:dyDescent="0.2">
      <c r="B680" s="110">
        <f t="shared" si="12"/>
        <v>0</v>
      </c>
      <c r="E680" s="87"/>
      <c r="K680" s="110"/>
      <c r="L680" s="111"/>
    </row>
    <row r="681" spans="2:12" ht="14.25" customHeight="1" x14ac:dyDescent="0.2">
      <c r="B681" s="110">
        <f t="shared" si="12"/>
        <v>0</v>
      </c>
      <c r="E681" s="87"/>
      <c r="K681" s="110"/>
      <c r="L681" s="111"/>
    </row>
    <row r="682" spans="2:12" ht="14.25" customHeight="1" x14ac:dyDescent="0.2">
      <c r="B682" s="110">
        <f t="shared" si="12"/>
        <v>0</v>
      </c>
      <c r="E682" s="87"/>
      <c r="K682" s="110"/>
      <c r="L682" s="111"/>
    </row>
    <row r="683" spans="2:12" ht="14.25" customHeight="1" x14ac:dyDescent="0.2">
      <c r="B683" s="110">
        <f t="shared" si="12"/>
        <v>0</v>
      </c>
      <c r="E683" s="87"/>
      <c r="K683" s="110"/>
      <c r="L683" s="111"/>
    </row>
    <row r="684" spans="2:12" ht="14.25" customHeight="1" x14ac:dyDescent="0.2">
      <c r="B684" s="110">
        <f t="shared" si="12"/>
        <v>0</v>
      </c>
      <c r="E684" s="87"/>
      <c r="K684" s="110"/>
      <c r="L684" s="111"/>
    </row>
    <row r="685" spans="2:12" ht="14.25" customHeight="1" x14ac:dyDescent="0.2">
      <c r="B685" s="110">
        <f t="shared" si="12"/>
        <v>0</v>
      </c>
      <c r="E685" s="87"/>
      <c r="K685" s="110"/>
      <c r="L685" s="111"/>
    </row>
    <row r="686" spans="2:12" ht="14.25" customHeight="1" x14ac:dyDescent="0.2">
      <c r="B686" s="110">
        <f t="shared" si="12"/>
        <v>0</v>
      </c>
      <c r="E686" s="87"/>
      <c r="K686" s="110"/>
      <c r="L686" s="111"/>
    </row>
    <row r="687" spans="2:12" ht="14.25" customHeight="1" x14ac:dyDescent="0.2">
      <c r="B687" s="110">
        <f t="shared" si="12"/>
        <v>0</v>
      </c>
      <c r="E687" s="87"/>
      <c r="K687" s="110"/>
      <c r="L687" s="111"/>
    </row>
    <row r="688" spans="2:12" ht="14.25" customHeight="1" x14ac:dyDescent="0.2">
      <c r="B688" s="110">
        <f t="shared" si="12"/>
        <v>0</v>
      </c>
      <c r="E688" s="87"/>
      <c r="K688" s="110"/>
      <c r="L688" s="111"/>
    </row>
    <row r="689" spans="2:12" ht="14.25" customHeight="1" x14ac:dyDescent="0.2">
      <c r="B689" s="110">
        <f t="shared" si="12"/>
        <v>0</v>
      </c>
      <c r="E689" s="87"/>
      <c r="K689" s="110"/>
      <c r="L689" s="111"/>
    </row>
    <row r="690" spans="2:12" ht="14.25" customHeight="1" x14ac:dyDescent="0.2">
      <c r="B690" s="110">
        <f t="shared" si="12"/>
        <v>0</v>
      </c>
      <c r="E690" s="87"/>
      <c r="K690" s="110"/>
      <c r="L690" s="111"/>
    </row>
    <row r="691" spans="2:12" ht="14.25" customHeight="1" x14ac:dyDescent="0.2">
      <c r="B691" s="110">
        <f t="shared" si="12"/>
        <v>0</v>
      </c>
      <c r="E691" s="87"/>
      <c r="K691" s="110"/>
      <c r="L691" s="111"/>
    </row>
    <row r="692" spans="2:12" ht="14.25" customHeight="1" x14ac:dyDescent="0.2">
      <c r="B692" s="110">
        <f t="shared" si="12"/>
        <v>0</v>
      </c>
      <c r="E692" s="87"/>
      <c r="K692" s="110"/>
      <c r="L692" s="111"/>
    </row>
    <row r="693" spans="2:12" ht="14.25" customHeight="1" x14ac:dyDescent="0.2">
      <c r="B693" s="110">
        <f t="shared" si="12"/>
        <v>0</v>
      </c>
      <c r="E693" s="87"/>
      <c r="K693" s="110"/>
      <c r="L693" s="111"/>
    </row>
    <row r="694" spans="2:12" ht="14.25" customHeight="1" x14ac:dyDescent="0.2">
      <c r="B694" s="110">
        <f t="shared" si="12"/>
        <v>0</v>
      </c>
      <c r="E694" s="87"/>
      <c r="K694" s="110"/>
      <c r="L694" s="111"/>
    </row>
    <row r="695" spans="2:12" ht="14.25" customHeight="1" x14ac:dyDescent="0.2">
      <c r="B695" s="110">
        <f t="shared" si="12"/>
        <v>0</v>
      </c>
      <c r="E695" s="87"/>
      <c r="K695" s="110"/>
      <c r="L695" s="111"/>
    </row>
    <row r="696" spans="2:12" ht="14.25" customHeight="1" x14ac:dyDescent="0.2">
      <c r="B696" s="110">
        <f t="shared" si="12"/>
        <v>0</v>
      </c>
      <c r="E696" s="87"/>
      <c r="K696" s="110"/>
      <c r="L696" s="111"/>
    </row>
    <row r="697" spans="2:12" ht="14.25" customHeight="1" x14ac:dyDescent="0.2">
      <c r="B697" s="110">
        <f t="shared" si="12"/>
        <v>0</v>
      </c>
      <c r="E697" s="87"/>
      <c r="K697" s="110"/>
      <c r="L697" s="111"/>
    </row>
    <row r="698" spans="2:12" ht="14.25" customHeight="1" x14ac:dyDescent="0.2">
      <c r="B698" s="110">
        <f t="shared" si="12"/>
        <v>0</v>
      </c>
      <c r="E698" s="87"/>
      <c r="K698" s="110"/>
      <c r="L698" s="111"/>
    </row>
    <row r="699" spans="2:12" ht="14.25" customHeight="1" x14ac:dyDescent="0.2">
      <c r="B699" s="110">
        <f t="shared" si="12"/>
        <v>0</v>
      </c>
      <c r="E699" s="87"/>
      <c r="K699" s="110"/>
      <c r="L699" s="111"/>
    </row>
    <row r="700" spans="2:12" ht="14.25" customHeight="1" x14ac:dyDescent="0.2">
      <c r="B700" s="110">
        <f t="shared" si="12"/>
        <v>0</v>
      </c>
      <c r="E700" s="87"/>
      <c r="K700" s="110"/>
      <c r="L700" s="111"/>
    </row>
    <row r="701" spans="2:12" ht="14.25" customHeight="1" x14ac:dyDescent="0.2">
      <c r="B701" s="110">
        <f t="shared" si="12"/>
        <v>0</v>
      </c>
      <c r="E701" s="87"/>
      <c r="K701" s="110"/>
      <c r="L701" s="111"/>
    </row>
    <row r="702" spans="2:12" ht="14.25" customHeight="1" x14ac:dyDescent="0.2">
      <c r="B702" s="110">
        <f t="shared" si="12"/>
        <v>0</v>
      </c>
      <c r="E702" s="87"/>
      <c r="K702" s="110"/>
      <c r="L702" s="111"/>
    </row>
    <row r="703" spans="2:12" ht="14.25" customHeight="1" x14ac:dyDescent="0.2">
      <c r="B703" s="110">
        <f t="shared" si="12"/>
        <v>0</v>
      </c>
      <c r="E703" s="87"/>
      <c r="K703" s="110"/>
      <c r="L703" s="111"/>
    </row>
    <row r="704" spans="2:12" ht="14.25" customHeight="1" x14ac:dyDescent="0.2">
      <c r="B704" s="110">
        <f t="shared" si="12"/>
        <v>0</v>
      </c>
      <c r="E704" s="87"/>
      <c r="K704" s="110"/>
      <c r="L704" s="111"/>
    </row>
    <row r="705" spans="2:12" ht="14.25" customHeight="1" x14ac:dyDescent="0.2">
      <c r="B705" s="110">
        <f t="shared" si="12"/>
        <v>0</v>
      </c>
      <c r="E705" s="87"/>
      <c r="K705" s="110"/>
      <c r="L705" s="111"/>
    </row>
    <row r="706" spans="2:12" ht="14.25" customHeight="1" x14ac:dyDescent="0.2">
      <c r="B706" s="110">
        <f t="shared" si="12"/>
        <v>0</v>
      </c>
      <c r="E706" s="87"/>
      <c r="K706" s="110"/>
      <c r="L706" s="111"/>
    </row>
    <row r="707" spans="2:12" ht="14.25" customHeight="1" x14ac:dyDescent="0.2">
      <c r="B707" s="110">
        <f t="shared" ref="B707:B725" si="13">_xlfn.NUMBERVALUE(L727)*0.01</f>
        <v>0</v>
      </c>
      <c r="E707" s="87"/>
      <c r="K707" s="110"/>
      <c r="L707" s="111"/>
    </row>
    <row r="708" spans="2:12" ht="14.25" customHeight="1" x14ac:dyDescent="0.2">
      <c r="B708" s="110">
        <f t="shared" si="13"/>
        <v>0</v>
      </c>
      <c r="E708" s="87"/>
      <c r="K708" s="110"/>
      <c r="L708" s="111"/>
    </row>
    <row r="709" spans="2:12" ht="14.25" customHeight="1" x14ac:dyDescent="0.2">
      <c r="B709" s="110">
        <f t="shared" si="13"/>
        <v>0</v>
      </c>
      <c r="E709" s="87"/>
      <c r="K709" s="110"/>
      <c r="L709" s="111"/>
    </row>
    <row r="710" spans="2:12" ht="14.25" customHeight="1" x14ac:dyDescent="0.2">
      <c r="B710" s="110">
        <f t="shared" si="13"/>
        <v>0</v>
      </c>
      <c r="E710" s="87"/>
      <c r="K710" s="110"/>
      <c r="L710" s="111"/>
    </row>
    <row r="711" spans="2:12" ht="14.25" customHeight="1" x14ac:dyDescent="0.2">
      <c r="B711" s="110">
        <f t="shared" si="13"/>
        <v>0</v>
      </c>
      <c r="E711" s="87"/>
      <c r="K711" s="110"/>
      <c r="L711" s="111"/>
    </row>
    <row r="712" spans="2:12" ht="14.25" customHeight="1" x14ac:dyDescent="0.2">
      <c r="B712" s="110">
        <f t="shared" si="13"/>
        <v>0</v>
      </c>
      <c r="E712" s="87"/>
      <c r="K712" s="110"/>
      <c r="L712" s="111"/>
    </row>
    <row r="713" spans="2:12" ht="14.25" customHeight="1" x14ac:dyDescent="0.2">
      <c r="B713" s="110">
        <f t="shared" si="13"/>
        <v>0</v>
      </c>
      <c r="E713" s="87"/>
      <c r="K713" s="110"/>
      <c r="L713" s="111"/>
    </row>
    <row r="714" spans="2:12" ht="14.25" customHeight="1" x14ac:dyDescent="0.2">
      <c r="B714" s="110">
        <f t="shared" si="13"/>
        <v>0</v>
      </c>
      <c r="E714" s="87"/>
      <c r="K714" s="110"/>
      <c r="L714" s="111"/>
    </row>
    <row r="715" spans="2:12" ht="14.25" customHeight="1" x14ac:dyDescent="0.2">
      <c r="B715" s="110">
        <f t="shared" si="13"/>
        <v>0</v>
      </c>
      <c r="E715" s="87"/>
      <c r="K715" s="110"/>
      <c r="L715" s="111"/>
    </row>
    <row r="716" spans="2:12" ht="14.25" customHeight="1" x14ac:dyDescent="0.2">
      <c r="B716" s="110">
        <f t="shared" si="13"/>
        <v>0</v>
      </c>
      <c r="E716" s="87"/>
      <c r="K716" s="110"/>
      <c r="L716" s="111"/>
    </row>
    <row r="717" spans="2:12" ht="14.25" customHeight="1" x14ac:dyDescent="0.2">
      <c r="B717" s="110">
        <f t="shared" si="13"/>
        <v>0</v>
      </c>
      <c r="E717" s="87"/>
      <c r="K717" s="110"/>
      <c r="L717" s="111"/>
    </row>
    <row r="718" spans="2:12" ht="14.25" customHeight="1" x14ac:dyDescent="0.2">
      <c r="B718" s="110">
        <f t="shared" si="13"/>
        <v>0</v>
      </c>
      <c r="E718" s="87"/>
      <c r="K718" s="110"/>
      <c r="L718" s="111"/>
    </row>
    <row r="719" spans="2:12" ht="14.25" customHeight="1" x14ac:dyDescent="0.2">
      <c r="B719" s="110">
        <f t="shared" si="13"/>
        <v>0</v>
      </c>
      <c r="E719" s="87"/>
      <c r="K719" s="110"/>
      <c r="L719" s="111"/>
    </row>
    <row r="720" spans="2:12" ht="14.25" customHeight="1" x14ac:dyDescent="0.2">
      <c r="B720" s="110">
        <f t="shared" si="13"/>
        <v>0</v>
      </c>
      <c r="E720" s="87"/>
      <c r="K720" s="110"/>
      <c r="L720" s="111"/>
    </row>
    <row r="721" spans="2:12" ht="14.25" customHeight="1" x14ac:dyDescent="0.2">
      <c r="B721" s="110">
        <f t="shared" si="13"/>
        <v>0</v>
      </c>
      <c r="E721" s="87"/>
      <c r="K721" s="110"/>
      <c r="L721" s="111"/>
    </row>
    <row r="722" spans="2:12" ht="14.25" customHeight="1" x14ac:dyDescent="0.2">
      <c r="B722" s="110">
        <f t="shared" si="13"/>
        <v>0</v>
      </c>
      <c r="E722" s="87"/>
      <c r="K722" s="110"/>
      <c r="L722" s="111"/>
    </row>
    <row r="723" spans="2:12" ht="14.25" customHeight="1" x14ac:dyDescent="0.2">
      <c r="B723" s="110">
        <f t="shared" si="13"/>
        <v>0</v>
      </c>
      <c r="E723" s="87"/>
      <c r="K723" s="110"/>
      <c r="L723" s="111"/>
    </row>
    <row r="724" spans="2:12" ht="14.25" customHeight="1" x14ac:dyDescent="0.2">
      <c r="B724" s="110">
        <f t="shared" si="13"/>
        <v>0</v>
      </c>
      <c r="E724" s="87"/>
      <c r="K724" s="110"/>
      <c r="L724" s="111"/>
    </row>
    <row r="725" spans="2:12" ht="14.25" customHeight="1" x14ac:dyDescent="0.2">
      <c r="B725" s="110">
        <f t="shared" si="13"/>
        <v>0</v>
      </c>
      <c r="E725" s="87"/>
      <c r="K725" s="110"/>
      <c r="L725" s="111"/>
    </row>
    <row r="726" spans="2:12" ht="14.25" customHeight="1" x14ac:dyDescent="0.2">
      <c r="B726" s="110">
        <f t="shared" ref="B726" si="14">_xlfn.NUMBERVALUE(L746)*0.01</f>
        <v>0</v>
      </c>
      <c r="E726" s="87"/>
      <c r="K726" s="110"/>
      <c r="L726" s="111"/>
    </row>
    <row r="727" spans="2:12" ht="14.25" customHeight="1" x14ac:dyDescent="0.2">
      <c r="B727" s="110"/>
      <c r="E727" s="87"/>
      <c r="K727" s="110"/>
      <c r="L727" s="111"/>
    </row>
    <row r="728" spans="2:12" ht="14.25" customHeight="1" x14ac:dyDescent="0.2">
      <c r="B728" s="110"/>
      <c r="E728" s="87"/>
      <c r="K728" s="110"/>
      <c r="L728" s="111"/>
    </row>
    <row r="729" spans="2:12" ht="14.25" customHeight="1" x14ac:dyDescent="0.2">
      <c r="B729" s="110"/>
      <c r="E729" s="87"/>
      <c r="K729" s="110"/>
      <c r="L729" s="111"/>
    </row>
    <row r="730" spans="2:12" ht="14.25" customHeight="1" x14ac:dyDescent="0.2">
      <c r="B730" s="110"/>
      <c r="E730" s="87"/>
      <c r="K730" s="110"/>
      <c r="L730" s="111"/>
    </row>
    <row r="731" spans="2:12" ht="14.25" customHeight="1" x14ac:dyDescent="0.2">
      <c r="B731" s="110"/>
      <c r="E731" s="87"/>
      <c r="K731" s="110"/>
      <c r="L731" s="111"/>
    </row>
    <row r="732" spans="2:12" ht="14.25" customHeight="1" x14ac:dyDescent="0.2">
      <c r="B732" s="110"/>
      <c r="E732" s="87"/>
      <c r="K732" s="110"/>
      <c r="L732" s="111"/>
    </row>
    <row r="733" spans="2:12" ht="14.25" customHeight="1" x14ac:dyDescent="0.2">
      <c r="B733" s="110"/>
      <c r="E733" s="87"/>
      <c r="K733" s="110"/>
      <c r="L733" s="111"/>
    </row>
    <row r="734" spans="2:12" ht="14.25" customHeight="1" x14ac:dyDescent="0.2">
      <c r="B734" s="110"/>
      <c r="E734" s="87"/>
      <c r="K734" s="110"/>
      <c r="L734" s="111"/>
    </row>
    <row r="735" spans="2:12" ht="14.25" customHeight="1" x14ac:dyDescent="0.2">
      <c r="B735" s="110"/>
      <c r="E735" s="87"/>
      <c r="K735" s="110"/>
      <c r="L735" s="111"/>
    </row>
    <row r="736" spans="2:12" ht="14.25" customHeight="1" x14ac:dyDescent="0.2">
      <c r="B736" s="110"/>
      <c r="E736" s="87"/>
      <c r="K736" s="110"/>
      <c r="L736" s="111"/>
    </row>
    <row r="737" spans="2:12" ht="14.25" customHeight="1" x14ac:dyDescent="0.2">
      <c r="B737" s="110"/>
      <c r="E737" s="87"/>
      <c r="K737" s="110"/>
      <c r="L737" s="111"/>
    </row>
    <row r="738" spans="2:12" ht="14.25" customHeight="1" x14ac:dyDescent="0.2">
      <c r="B738" s="110"/>
      <c r="E738" s="87"/>
      <c r="K738" s="110"/>
      <c r="L738" s="111"/>
    </row>
    <row r="739" spans="2:12" ht="14.25" customHeight="1" x14ac:dyDescent="0.2">
      <c r="B739" s="110"/>
      <c r="E739" s="87"/>
      <c r="K739" s="110"/>
      <c r="L739" s="111"/>
    </row>
    <row r="740" spans="2:12" ht="14.25" customHeight="1" x14ac:dyDescent="0.2">
      <c r="B740" s="110"/>
      <c r="E740" s="87"/>
      <c r="K740" s="110"/>
      <c r="L740" s="111"/>
    </row>
    <row r="741" spans="2:12" ht="14.25" customHeight="1" x14ac:dyDescent="0.2">
      <c r="B741" s="110"/>
      <c r="E741" s="87"/>
      <c r="K741" s="110"/>
      <c r="L741" s="111"/>
    </row>
    <row r="742" spans="2:12" ht="14.25" customHeight="1" x14ac:dyDescent="0.2">
      <c r="B742" s="110"/>
      <c r="E742" s="87"/>
      <c r="K742" s="110"/>
      <c r="L742" s="111"/>
    </row>
    <row r="743" spans="2:12" ht="14.25" customHeight="1" x14ac:dyDescent="0.2">
      <c r="B743" s="110"/>
      <c r="E743" s="87"/>
      <c r="K743" s="110"/>
      <c r="L743" s="111"/>
    </row>
    <row r="744" spans="2:12" ht="14.25" customHeight="1" x14ac:dyDescent="0.2">
      <c r="B744" s="110"/>
      <c r="E744" s="87"/>
      <c r="K744" s="110"/>
      <c r="L744" s="111"/>
    </row>
    <row r="745" spans="2:12" ht="14.25" customHeight="1" x14ac:dyDescent="0.2">
      <c r="B745" s="110"/>
      <c r="E745" s="87"/>
      <c r="K745" s="110"/>
      <c r="L745" s="111"/>
    </row>
    <row r="746" spans="2:12" ht="14.25" customHeight="1" x14ac:dyDescent="0.2">
      <c r="B746" s="110"/>
      <c r="E746" s="87"/>
      <c r="K746" s="110"/>
      <c r="L746" s="111"/>
    </row>
    <row r="747" spans="2:12" ht="14.25" customHeight="1" x14ac:dyDescent="0.2">
      <c r="B747" s="110"/>
      <c r="E747" s="87"/>
      <c r="K747" s="110"/>
      <c r="L747" s="111"/>
    </row>
    <row r="748" spans="2:12" ht="14.25" customHeight="1" x14ac:dyDescent="0.2">
      <c r="B748" s="110"/>
      <c r="E748" s="87"/>
      <c r="K748" s="110"/>
      <c r="L748" s="111"/>
    </row>
    <row r="749" spans="2:12" ht="14.25" customHeight="1" x14ac:dyDescent="0.2">
      <c r="B749" s="110"/>
      <c r="E749" s="87"/>
      <c r="K749" s="110"/>
      <c r="L749" s="111"/>
    </row>
    <row r="750" spans="2:12" ht="14.25" customHeight="1" x14ac:dyDescent="0.2">
      <c r="B750" s="110"/>
      <c r="E750" s="87"/>
      <c r="K750" s="110"/>
      <c r="L750" s="111"/>
    </row>
    <row r="751" spans="2:12" ht="14.25" customHeight="1" x14ac:dyDescent="0.2">
      <c r="B751" s="110"/>
      <c r="E751" s="87"/>
      <c r="K751" s="110"/>
      <c r="L751" s="111"/>
    </row>
    <row r="752" spans="2:12" ht="14.25" customHeight="1" x14ac:dyDescent="0.2">
      <c r="B752" s="110"/>
      <c r="E752" s="87"/>
      <c r="K752" s="110"/>
      <c r="L752" s="111"/>
    </row>
    <row r="753" spans="2:12" ht="14.25" customHeight="1" x14ac:dyDescent="0.2">
      <c r="B753" s="110"/>
      <c r="E753" s="87"/>
      <c r="K753" s="110"/>
      <c r="L753" s="111"/>
    </row>
    <row r="754" spans="2:12" ht="14.25" customHeight="1" x14ac:dyDescent="0.2">
      <c r="B754" s="110"/>
      <c r="E754" s="87"/>
      <c r="K754" s="110"/>
      <c r="L754" s="111"/>
    </row>
    <row r="755" spans="2:12" ht="14.25" customHeight="1" x14ac:dyDescent="0.2">
      <c r="B755" s="110"/>
      <c r="E755" s="87"/>
      <c r="K755" s="110"/>
      <c r="L755" s="111"/>
    </row>
    <row r="756" spans="2:12" ht="14.25" customHeight="1" x14ac:dyDescent="0.2">
      <c r="B756" s="110"/>
      <c r="E756" s="87"/>
      <c r="K756" s="110"/>
      <c r="L756" s="111"/>
    </row>
    <row r="757" spans="2:12" ht="14.25" customHeight="1" x14ac:dyDescent="0.2">
      <c r="B757" s="110"/>
      <c r="E757" s="87"/>
      <c r="K757" s="110"/>
      <c r="L757" s="111"/>
    </row>
    <row r="758" spans="2:12" ht="14.25" customHeight="1" x14ac:dyDescent="0.2">
      <c r="B758" s="110"/>
      <c r="E758" s="87"/>
      <c r="K758" s="110"/>
      <c r="L758" s="111"/>
    </row>
    <row r="759" spans="2:12" ht="14.25" customHeight="1" x14ac:dyDescent="0.2">
      <c r="B759" s="110"/>
      <c r="E759" s="87"/>
      <c r="K759" s="110"/>
      <c r="L759" s="111"/>
    </row>
    <row r="760" spans="2:12" ht="14.25" customHeight="1" x14ac:dyDescent="0.2">
      <c r="B760" s="110"/>
      <c r="E760" s="87"/>
      <c r="K760" s="110"/>
      <c r="L760" s="111"/>
    </row>
    <row r="761" spans="2:12" ht="14.25" customHeight="1" x14ac:dyDescent="0.2">
      <c r="B761" s="110"/>
      <c r="E761" s="87"/>
      <c r="K761" s="110"/>
      <c r="L761" s="111"/>
    </row>
    <row r="762" spans="2:12" ht="14.25" customHeight="1" x14ac:dyDescent="0.2">
      <c r="B762" s="110"/>
      <c r="E762" s="87"/>
      <c r="K762" s="110"/>
      <c r="L762" s="111"/>
    </row>
    <row r="763" spans="2:12" ht="14.25" customHeight="1" x14ac:dyDescent="0.2">
      <c r="B763" s="110"/>
      <c r="E763" s="87"/>
      <c r="K763" s="110"/>
      <c r="L763" s="111"/>
    </row>
    <row r="764" spans="2:12" ht="14.25" customHeight="1" x14ac:dyDescent="0.2">
      <c r="B764" s="110"/>
      <c r="E764" s="87"/>
      <c r="K764" s="110"/>
      <c r="L764" s="111"/>
    </row>
    <row r="765" spans="2:12" ht="14.25" customHeight="1" x14ac:dyDescent="0.2">
      <c r="B765" s="110"/>
      <c r="E765" s="87"/>
      <c r="K765" s="110"/>
      <c r="L765" s="111"/>
    </row>
    <row r="766" spans="2:12" ht="14.25" customHeight="1" x14ac:dyDescent="0.2">
      <c r="B766" s="110"/>
      <c r="E766" s="87"/>
      <c r="K766" s="110"/>
      <c r="L766" s="111"/>
    </row>
    <row r="767" spans="2:12" ht="14.25" customHeight="1" x14ac:dyDescent="0.2">
      <c r="B767" s="110"/>
      <c r="E767" s="87"/>
      <c r="K767" s="110"/>
      <c r="L767" s="111"/>
    </row>
    <row r="768" spans="2:12" ht="14.25" customHeight="1" x14ac:dyDescent="0.2">
      <c r="B768" s="110"/>
      <c r="E768" s="87"/>
      <c r="K768" s="110"/>
      <c r="L768" s="111"/>
    </row>
    <row r="769" spans="2:12" ht="14.25" customHeight="1" x14ac:dyDescent="0.2">
      <c r="B769" s="110"/>
      <c r="E769" s="87"/>
      <c r="K769" s="110"/>
      <c r="L769" s="111"/>
    </row>
    <row r="770" spans="2:12" ht="14.25" customHeight="1" x14ac:dyDescent="0.2">
      <c r="B770" s="110"/>
      <c r="E770" s="87"/>
      <c r="K770" s="110"/>
      <c r="L770" s="111"/>
    </row>
    <row r="771" spans="2:12" ht="14.25" customHeight="1" x14ac:dyDescent="0.2">
      <c r="B771" s="110"/>
      <c r="E771" s="87"/>
      <c r="K771" s="110"/>
      <c r="L771" s="111"/>
    </row>
    <row r="772" spans="2:12" ht="14.25" customHeight="1" x14ac:dyDescent="0.2">
      <c r="B772" s="110"/>
      <c r="E772" s="87"/>
      <c r="K772" s="110"/>
      <c r="L772" s="111"/>
    </row>
    <row r="773" spans="2:12" ht="14.25" customHeight="1" x14ac:dyDescent="0.2">
      <c r="B773" s="110"/>
      <c r="E773" s="87"/>
      <c r="K773" s="110"/>
      <c r="L773" s="111"/>
    </row>
    <row r="774" spans="2:12" ht="14.25" customHeight="1" x14ac:dyDescent="0.2">
      <c r="B774" s="110"/>
      <c r="E774" s="87"/>
      <c r="K774" s="110"/>
      <c r="L774" s="111"/>
    </row>
    <row r="775" spans="2:12" ht="14.25" customHeight="1" x14ac:dyDescent="0.2">
      <c r="B775" s="110"/>
      <c r="E775" s="87"/>
      <c r="K775" s="110"/>
      <c r="L775" s="111"/>
    </row>
    <row r="776" spans="2:12" ht="14.25" customHeight="1" x14ac:dyDescent="0.2">
      <c r="B776" s="110"/>
      <c r="E776" s="87"/>
      <c r="K776" s="110"/>
      <c r="L776" s="111"/>
    </row>
    <row r="777" spans="2:12" ht="14.25" customHeight="1" x14ac:dyDescent="0.2">
      <c r="B777" s="110"/>
      <c r="E777" s="87"/>
      <c r="K777" s="110"/>
      <c r="L777" s="111"/>
    </row>
    <row r="778" spans="2:12" ht="14.25" customHeight="1" x14ac:dyDescent="0.2">
      <c r="B778" s="110"/>
      <c r="E778" s="87"/>
      <c r="K778" s="110"/>
      <c r="L778" s="111"/>
    </row>
    <row r="779" spans="2:12" ht="14.25" customHeight="1" x14ac:dyDescent="0.2">
      <c r="B779" s="110"/>
      <c r="E779" s="87"/>
      <c r="K779" s="110"/>
      <c r="L779" s="111"/>
    </row>
    <row r="780" spans="2:12" ht="14.25" customHeight="1" x14ac:dyDescent="0.2">
      <c r="B780" s="110"/>
      <c r="E780" s="87"/>
      <c r="K780" s="110"/>
      <c r="L780" s="111"/>
    </row>
    <row r="781" spans="2:12" ht="14.25" customHeight="1" x14ac:dyDescent="0.2">
      <c r="B781" s="110"/>
      <c r="E781" s="87"/>
      <c r="K781" s="110"/>
      <c r="L781" s="111"/>
    </row>
    <row r="782" spans="2:12" ht="14.25" customHeight="1" x14ac:dyDescent="0.2">
      <c r="B782" s="110"/>
      <c r="E782" s="87"/>
      <c r="K782" s="110"/>
      <c r="L782" s="111"/>
    </row>
    <row r="783" spans="2:12" ht="14.25" customHeight="1" x14ac:dyDescent="0.2">
      <c r="B783" s="110"/>
      <c r="E783" s="87"/>
      <c r="K783" s="110"/>
      <c r="L783" s="111"/>
    </row>
    <row r="784" spans="2:12" ht="14.25" customHeight="1" x14ac:dyDescent="0.2">
      <c r="B784" s="110"/>
      <c r="E784" s="87"/>
      <c r="K784" s="110"/>
      <c r="L784" s="111"/>
    </row>
    <row r="785" spans="2:12" ht="14.25" customHeight="1" x14ac:dyDescent="0.2">
      <c r="B785" s="110"/>
      <c r="E785" s="87"/>
      <c r="K785" s="110"/>
      <c r="L785" s="111"/>
    </row>
    <row r="786" spans="2:12" ht="14.25" customHeight="1" x14ac:dyDescent="0.2">
      <c r="B786" s="110"/>
      <c r="E786" s="87"/>
      <c r="K786" s="110"/>
      <c r="L786" s="111"/>
    </row>
    <row r="787" spans="2:12" ht="14.25" customHeight="1" x14ac:dyDescent="0.2">
      <c r="B787" s="110"/>
      <c r="E787" s="87"/>
      <c r="K787" s="110"/>
      <c r="L787" s="111"/>
    </row>
    <row r="788" spans="2:12" ht="14.25" customHeight="1" x14ac:dyDescent="0.2">
      <c r="B788" s="110"/>
      <c r="E788" s="87"/>
      <c r="K788" s="110"/>
      <c r="L788" s="111"/>
    </row>
    <row r="789" spans="2:12" ht="14.25" customHeight="1" x14ac:dyDescent="0.2">
      <c r="B789" s="110"/>
      <c r="E789" s="87"/>
      <c r="K789" s="110"/>
      <c r="L789" s="111"/>
    </row>
    <row r="790" spans="2:12" ht="14.25" customHeight="1" x14ac:dyDescent="0.2">
      <c r="B790" s="110"/>
      <c r="E790" s="87"/>
      <c r="K790" s="110"/>
      <c r="L790" s="111"/>
    </row>
    <row r="791" spans="2:12" ht="14.25" customHeight="1" x14ac:dyDescent="0.2">
      <c r="B791" s="110"/>
      <c r="E791" s="87"/>
      <c r="K791" s="110"/>
      <c r="L791" s="111"/>
    </row>
    <row r="792" spans="2:12" ht="14.25" customHeight="1" x14ac:dyDescent="0.2">
      <c r="B792" s="110"/>
      <c r="E792" s="87"/>
      <c r="K792" s="110"/>
      <c r="L792" s="111"/>
    </row>
    <row r="793" spans="2:12" ht="14.25" customHeight="1" x14ac:dyDescent="0.2">
      <c r="B793" s="110"/>
      <c r="E793" s="87"/>
      <c r="K793" s="110"/>
      <c r="L793" s="111"/>
    </row>
    <row r="794" spans="2:12" ht="14.25" customHeight="1" x14ac:dyDescent="0.2">
      <c r="B794" s="110"/>
      <c r="E794" s="87"/>
      <c r="K794" s="110"/>
      <c r="L794" s="111"/>
    </row>
    <row r="795" spans="2:12" ht="14.25" customHeight="1" x14ac:dyDescent="0.2">
      <c r="B795" s="110"/>
      <c r="E795" s="87"/>
      <c r="K795" s="110"/>
      <c r="L795" s="111"/>
    </row>
    <row r="796" spans="2:12" ht="14.25" customHeight="1" x14ac:dyDescent="0.2">
      <c r="B796" s="110"/>
      <c r="E796" s="87"/>
      <c r="K796" s="110"/>
      <c r="L796" s="111"/>
    </row>
    <row r="797" spans="2:12" ht="14.25" customHeight="1" x14ac:dyDescent="0.2">
      <c r="B797" s="110"/>
      <c r="E797" s="87"/>
      <c r="K797" s="110"/>
      <c r="L797" s="111"/>
    </row>
    <row r="798" spans="2:12" ht="14.25" customHeight="1" x14ac:dyDescent="0.2">
      <c r="B798" s="110"/>
      <c r="E798" s="87"/>
      <c r="K798" s="110"/>
      <c r="L798" s="111"/>
    </row>
    <row r="799" spans="2:12" ht="14.25" customHeight="1" x14ac:dyDescent="0.2">
      <c r="B799" s="110"/>
      <c r="E799" s="87"/>
      <c r="K799" s="110"/>
      <c r="L799" s="111"/>
    </row>
    <row r="800" spans="2:12" ht="14.25" customHeight="1" x14ac:dyDescent="0.2">
      <c r="B800" s="110"/>
      <c r="E800" s="87"/>
      <c r="K800" s="110"/>
      <c r="L800" s="111"/>
    </row>
    <row r="801" spans="2:12" ht="14.25" customHeight="1" x14ac:dyDescent="0.2">
      <c r="B801" s="110"/>
      <c r="E801" s="87"/>
      <c r="K801" s="110"/>
      <c r="L801" s="111"/>
    </row>
    <row r="802" spans="2:12" ht="14.25" customHeight="1" x14ac:dyDescent="0.2">
      <c r="B802" s="110"/>
      <c r="E802" s="87"/>
      <c r="K802" s="110"/>
      <c r="L802" s="111"/>
    </row>
    <row r="803" spans="2:12" ht="14.25" customHeight="1" x14ac:dyDescent="0.2">
      <c r="B803" s="110"/>
      <c r="E803" s="87"/>
      <c r="K803" s="110"/>
      <c r="L803" s="111"/>
    </row>
    <row r="804" spans="2:12" ht="14.25" customHeight="1" x14ac:dyDescent="0.2">
      <c r="B804" s="110"/>
      <c r="E804" s="87"/>
      <c r="K804" s="110"/>
      <c r="L804" s="111"/>
    </row>
    <row r="805" spans="2:12" ht="14.25" customHeight="1" x14ac:dyDescent="0.2">
      <c r="B805" s="110"/>
      <c r="E805" s="87"/>
      <c r="K805" s="110"/>
      <c r="L805" s="111"/>
    </row>
    <row r="806" spans="2:12" ht="14.25" customHeight="1" x14ac:dyDescent="0.2">
      <c r="B806" s="110"/>
      <c r="E806" s="87"/>
      <c r="K806" s="110"/>
      <c r="L806" s="111"/>
    </row>
    <row r="807" spans="2:12" ht="14.25" customHeight="1" x14ac:dyDescent="0.2">
      <c r="B807" s="110"/>
      <c r="E807" s="87"/>
      <c r="K807" s="110"/>
      <c r="L807" s="111"/>
    </row>
    <row r="808" spans="2:12" ht="14.25" customHeight="1" x14ac:dyDescent="0.2">
      <c r="B808" s="110"/>
      <c r="E808" s="87"/>
      <c r="K808" s="110"/>
      <c r="L808" s="111"/>
    </row>
    <row r="809" spans="2:12" ht="14.25" customHeight="1" x14ac:dyDescent="0.2">
      <c r="B809" s="110"/>
      <c r="E809" s="87"/>
      <c r="K809" s="110"/>
      <c r="L809" s="111"/>
    </row>
    <row r="810" spans="2:12" ht="14.25" customHeight="1" x14ac:dyDescent="0.2">
      <c r="B810" s="110"/>
      <c r="E810" s="87"/>
      <c r="K810" s="110"/>
      <c r="L810" s="111"/>
    </row>
    <row r="811" spans="2:12" ht="14.25" customHeight="1" x14ac:dyDescent="0.2">
      <c r="B811" s="110"/>
      <c r="E811" s="87"/>
      <c r="K811" s="110"/>
      <c r="L811" s="111"/>
    </row>
    <row r="812" spans="2:12" ht="14.25" customHeight="1" x14ac:dyDescent="0.2">
      <c r="B812" s="110"/>
      <c r="E812" s="87"/>
      <c r="K812" s="110"/>
      <c r="L812" s="111"/>
    </row>
    <row r="813" spans="2:12" ht="14.25" customHeight="1" x14ac:dyDescent="0.2">
      <c r="B813" s="110"/>
      <c r="E813" s="87"/>
      <c r="K813" s="110"/>
      <c r="L813" s="111"/>
    </row>
    <row r="814" spans="2:12" ht="14.25" customHeight="1" x14ac:dyDescent="0.2">
      <c r="B814" s="110"/>
      <c r="E814" s="87"/>
      <c r="K814" s="110"/>
      <c r="L814" s="111"/>
    </row>
    <row r="815" spans="2:12" ht="14.25" customHeight="1" x14ac:dyDescent="0.2">
      <c r="B815" s="110"/>
      <c r="E815" s="87"/>
      <c r="K815" s="110"/>
      <c r="L815" s="111"/>
    </row>
    <row r="816" spans="2:12" ht="14.25" customHeight="1" x14ac:dyDescent="0.2">
      <c r="B816" s="110"/>
      <c r="E816" s="87"/>
      <c r="K816" s="110"/>
      <c r="L816" s="111"/>
    </row>
    <row r="817" spans="2:12" ht="14.25" customHeight="1" x14ac:dyDescent="0.2">
      <c r="B817" s="110"/>
      <c r="E817" s="87"/>
      <c r="K817" s="110"/>
      <c r="L817" s="111"/>
    </row>
    <row r="818" spans="2:12" ht="14.25" customHeight="1" x14ac:dyDescent="0.2">
      <c r="B818" s="110"/>
      <c r="E818" s="87"/>
      <c r="K818" s="110"/>
      <c r="L818" s="111"/>
    </row>
    <row r="819" spans="2:12" ht="14.25" customHeight="1" x14ac:dyDescent="0.2">
      <c r="B819" s="110"/>
      <c r="E819" s="87"/>
      <c r="K819" s="110"/>
      <c r="L819" s="111"/>
    </row>
    <row r="820" spans="2:12" ht="14.25" customHeight="1" x14ac:dyDescent="0.2">
      <c r="B820" s="110"/>
      <c r="E820" s="87"/>
      <c r="K820" s="110"/>
      <c r="L820" s="111"/>
    </row>
    <row r="821" spans="2:12" ht="14.25" customHeight="1" x14ac:dyDescent="0.2">
      <c r="B821" s="110"/>
      <c r="E821" s="87"/>
      <c r="K821" s="110"/>
      <c r="L821" s="111"/>
    </row>
    <row r="822" spans="2:12" ht="14.25" customHeight="1" x14ac:dyDescent="0.2">
      <c r="B822" s="110"/>
      <c r="E822" s="87"/>
      <c r="K822" s="110"/>
      <c r="L822" s="111"/>
    </row>
    <row r="823" spans="2:12" ht="14.25" customHeight="1" x14ac:dyDescent="0.2">
      <c r="B823" s="110"/>
      <c r="E823" s="87"/>
      <c r="K823" s="110"/>
      <c r="L823" s="111"/>
    </row>
    <row r="824" spans="2:12" ht="14.25" customHeight="1" x14ac:dyDescent="0.2">
      <c r="B824" s="110"/>
      <c r="E824" s="87"/>
      <c r="K824" s="110"/>
      <c r="L824" s="111"/>
    </row>
    <row r="825" spans="2:12" ht="14.25" customHeight="1" x14ac:dyDescent="0.2">
      <c r="B825" s="110"/>
      <c r="E825" s="87"/>
      <c r="K825" s="110"/>
      <c r="L825" s="111"/>
    </row>
    <row r="826" spans="2:12" ht="14.25" customHeight="1" x14ac:dyDescent="0.2">
      <c r="B826" s="110"/>
      <c r="E826" s="87"/>
      <c r="K826" s="110"/>
      <c r="L826" s="111"/>
    </row>
    <row r="827" spans="2:12" ht="14.25" customHeight="1" x14ac:dyDescent="0.2">
      <c r="B827" s="110"/>
      <c r="E827" s="87"/>
      <c r="K827" s="110"/>
      <c r="L827" s="111"/>
    </row>
    <row r="828" spans="2:12" ht="14.25" customHeight="1" x14ac:dyDescent="0.2">
      <c r="B828" s="110"/>
      <c r="E828" s="87"/>
      <c r="K828" s="110"/>
      <c r="L828" s="111"/>
    </row>
    <row r="829" spans="2:12" ht="14.25" customHeight="1" x14ac:dyDescent="0.2">
      <c r="B829" s="110"/>
      <c r="E829" s="87"/>
      <c r="K829" s="110"/>
      <c r="L829" s="111"/>
    </row>
    <row r="830" spans="2:12" ht="14.25" customHeight="1" x14ac:dyDescent="0.2">
      <c r="B830" s="110"/>
      <c r="E830" s="87"/>
      <c r="K830" s="110"/>
      <c r="L830" s="111"/>
    </row>
    <row r="831" spans="2:12" ht="14.25" customHeight="1" x14ac:dyDescent="0.2">
      <c r="B831" s="110"/>
      <c r="E831" s="87"/>
      <c r="K831" s="110"/>
      <c r="L831" s="111"/>
    </row>
    <row r="832" spans="2:12" ht="14.25" customHeight="1" x14ac:dyDescent="0.2">
      <c r="B832" s="110"/>
      <c r="E832" s="87"/>
      <c r="K832" s="110"/>
      <c r="L832" s="111"/>
    </row>
    <row r="833" spans="2:12" ht="14.25" customHeight="1" x14ac:dyDescent="0.2">
      <c r="B833" s="110"/>
      <c r="E833" s="87"/>
      <c r="K833" s="110"/>
      <c r="L833" s="111"/>
    </row>
    <row r="834" spans="2:12" ht="14.25" customHeight="1" x14ac:dyDescent="0.2">
      <c r="B834" s="110"/>
      <c r="E834" s="87"/>
      <c r="K834" s="110"/>
      <c r="L834" s="111"/>
    </row>
    <row r="835" spans="2:12" ht="14.25" customHeight="1" x14ac:dyDescent="0.2">
      <c r="B835" s="110"/>
      <c r="E835" s="87"/>
      <c r="K835" s="110"/>
      <c r="L835" s="111"/>
    </row>
    <row r="836" spans="2:12" ht="14.25" customHeight="1" x14ac:dyDescent="0.2">
      <c r="B836" s="110"/>
      <c r="E836" s="87"/>
      <c r="K836" s="110"/>
      <c r="L836" s="111"/>
    </row>
    <row r="837" spans="2:12" ht="14.25" customHeight="1" x14ac:dyDescent="0.2">
      <c r="B837" s="110"/>
      <c r="E837" s="87"/>
      <c r="K837" s="110"/>
      <c r="L837" s="111"/>
    </row>
    <row r="838" spans="2:12" ht="14.25" customHeight="1" x14ac:dyDescent="0.2">
      <c r="B838" s="110"/>
      <c r="E838" s="87"/>
      <c r="K838" s="110"/>
      <c r="L838" s="111"/>
    </row>
    <row r="839" spans="2:12" ht="14.25" customHeight="1" x14ac:dyDescent="0.2">
      <c r="B839" s="110"/>
      <c r="E839" s="87"/>
      <c r="K839" s="110"/>
      <c r="L839" s="111"/>
    </row>
    <row r="840" spans="2:12" ht="14.25" customHeight="1" x14ac:dyDescent="0.2">
      <c r="B840" s="110"/>
      <c r="E840" s="87"/>
      <c r="K840" s="110"/>
      <c r="L840" s="111"/>
    </row>
    <row r="841" spans="2:12" ht="14.25" customHeight="1" x14ac:dyDescent="0.2">
      <c r="B841" s="110"/>
      <c r="E841" s="87"/>
      <c r="K841" s="110"/>
      <c r="L841" s="111"/>
    </row>
    <row r="842" spans="2:12" ht="14.25" customHeight="1" x14ac:dyDescent="0.2">
      <c r="B842" s="110"/>
      <c r="E842" s="87"/>
      <c r="K842" s="110"/>
      <c r="L842" s="111"/>
    </row>
    <row r="843" spans="2:12" ht="14.25" customHeight="1" x14ac:dyDescent="0.2">
      <c r="B843" s="110"/>
      <c r="E843" s="87"/>
      <c r="K843" s="110"/>
      <c r="L843" s="111"/>
    </row>
    <row r="844" spans="2:12" ht="14.25" customHeight="1" x14ac:dyDescent="0.2">
      <c r="B844" s="110"/>
      <c r="E844" s="87"/>
      <c r="K844" s="110"/>
      <c r="L844" s="111"/>
    </row>
    <row r="845" spans="2:12" ht="14.25" customHeight="1" x14ac:dyDescent="0.2">
      <c r="B845" s="110"/>
      <c r="E845" s="87"/>
      <c r="K845" s="110"/>
      <c r="L845" s="111"/>
    </row>
    <row r="846" spans="2:12" ht="14.25" customHeight="1" x14ac:dyDescent="0.2">
      <c r="B846" s="110"/>
      <c r="E846" s="87"/>
      <c r="K846" s="110"/>
      <c r="L846" s="111"/>
    </row>
    <row r="847" spans="2:12" ht="14.25" customHeight="1" x14ac:dyDescent="0.2">
      <c r="B847" s="110"/>
      <c r="E847" s="87"/>
      <c r="K847" s="110"/>
      <c r="L847" s="111"/>
    </row>
    <row r="848" spans="2:12" ht="14.25" customHeight="1" x14ac:dyDescent="0.2">
      <c r="B848" s="110"/>
      <c r="E848" s="87"/>
      <c r="K848" s="110"/>
      <c r="L848" s="111"/>
    </row>
    <row r="849" spans="2:12" ht="14.25" customHeight="1" x14ac:dyDescent="0.2">
      <c r="B849" s="110"/>
      <c r="E849" s="87"/>
      <c r="K849" s="110"/>
      <c r="L849" s="111"/>
    </row>
    <row r="850" spans="2:12" ht="14.25" customHeight="1" x14ac:dyDescent="0.2">
      <c r="B850" s="110"/>
      <c r="E850" s="87"/>
      <c r="K850" s="110"/>
      <c r="L850" s="111"/>
    </row>
    <row r="851" spans="2:12" ht="14.25" customHeight="1" x14ac:dyDescent="0.2">
      <c r="B851" s="110"/>
      <c r="E851" s="87"/>
      <c r="K851" s="110"/>
      <c r="L851" s="111"/>
    </row>
    <row r="852" spans="2:12" ht="14.25" customHeight="1" x14ac:dyDescent="0.2">
      <c r="B852" s="110"/>
      <c r="E852" s="87"/>
      <c r="K852" s="110"/>
      <c r="L852" s="111"/>
    </row>
    <row r="853" spans="2:12" ht="14.25" customHeight="1" x14ac:dyDescent="0.2">
      <c r="B853" s="110"/>
      <c r="E853" s="87"/>
      <c r="K853" s="110"/>
      <c r="L853" s="111"/>
    </row>
    <row r="854" spans="2:12" ht="14.25" customHeight="1" x14ac:dyDescent="0.2">
      <c r="B854" s="110"/>
      <c r="E854" s="87"/>
      <c r="K854" s="110"/>
      <c r="L854" s="111"/>
    </row>
    <row r="855" spans="2:12" ht="14.25" customHeight="1" x14ac:dyDescent="0.2">
      <c r="B855" s="110"/>
      <c r="E855" s="87"/>
      <c r="K855" s="110"/>
      <c r="L855" s="111"/>
    </row>
    <row r="856" spans="2:12" ht="14.25" customHeight="1" x14ac:dyDescent="0.2">
      <c r="B856" s="110"/>
      <c r="E856" s="87"/>
      <c r="K856" s="110"/>
      <c r="L856" s="111"/>
    </row>
    <row r="857" spans="2:12" ht="14.25" customHeight="1" x14ac:dyDescent="0.2">
      <c r="B857" s="110"/>
      <c r="E857" s="87"/>
      <c r="K857" s="110"/>
      <c r="L857" s="111"/>
    </row>
    <row r="858" spans="2:12" ht="14.25" customHeight="1" x14ac:dyDescent="0.2">
      <c r="B858" s="110"/>
      <c r="E858" s="87"/>
      <c r="K858" s="110"/>
      <c r="L858" s="111"/>
    </row>
    <row r="859" spans="2:12" ht="14.25" customHeight="1" x14ac:dyDescent="0.2">
      <c r="B859" s="110"/>
      <c r="E859" s="87"/>
      <c r="K859" s="110"/>
      <c r="L859" s="111"/>
    </row>
    <row r="860" spans="2:12" ht="14.25" customHeight="1" x14ac:dyDescent="0.2">
      <c r="B860" s="110"/>
      <c r="E860" s="87"/>
      <c r="K860" s="110"/>
      <c r="L860" s="111"/>
    </row>
    <row r="861" spans="2:12" ht="14.25" customHeight="1" x14ac:dyDescent="0.2">
      <c r="B861" s="110"/>
      <c r="E861" s="87"/>
      <c r="K861" s="110"/>
      <c r="L861" s="111"/>
    </row>
    <row r="862" spans="2:12" ht="14.25" customHeight="1" x14ac:dyDescent="0.2">
      <c r="B862" s="110"/>
      <c r="E862" s="87"/>
      <c r="K862" s="110"/>
      <c r="L862" s="111"/>
    </row>
    <row r="863" spans="2:12" ht="14.25" customHeight="1" x14ac:dyDescent="0.2">
      <c r="B863" s="110"/>
      <c r="E863" s="87"/>
      <c r="K863" s="110"/>
      <c r="L863" s="111"/>
    </row>
    <row r="864" spans="2:12" ht="14.25" customHeight="1" x14ac:dyDescent="0.2">
      <c r="B864" s="110"/>
      <c r="E864" s="87"/>
      <c r="K864" s="110"/>
      <c r="L864" s="111"/>
    </row>
    <row r="865" spans="2:12" ht="14.25" customHeight="1" x14ac:dyDescent="0.2">
      <c r="B865" s="110"/>
      <c r="E865" s="87"/>
      <c r="K865" s="110"/>
      <c r="L865" s="111"/>
    </row>
    <row r="866" spans="2:12" ht="14.25" customHeight="1" x14ac:dyDescent="0.2">
      <c r="B866" s="110"/>
      <c r="E866" s="87"/>
      <c r="K866" s="110"/>
      <c r="L866" s="111"/>
    </row>
    <row r="867" spans="2:12" ht="14.25" customHeight="1" x14ac:dyDescent="0.2">
      <c r="B867" s="110"/>
      <c r="E867" s="87"/>
      <c r="K867" s="110"/>
      <c r="L867" s="111"/>
    </row>
    <row r="868" spans="2:12" ht="14.25" customHeight="1" x14ac:dyDescent="0.2">
      <c r="B868" s="110"/>
      <c r="E868" s="87"/>
      <c r="K868" s="110"/>
      <c r="L868" s="111"/>
    </row>
    <row r="869" spans="2:12" ht="14.25" customHeight="1" x14ac:dyDescent="0.2">
      <c r="B869" s="110"/>
      <c r="E869" s="87"/>
      <c r="K869" s="110"/>
      <c r="L869" s="111"/>
    </row>
    <row r="870" spans="2:12" ht="14.25" customHeight="1" x14ac:dyDescent="0.2">
      <c r="B870" s="110"/>
      <c r="E870" s="87"/>
      <c r="K870" s="110"/>
      <c r="L870" s="111"/>
    </row>
    <row r="871" spans="2:12" ht="14.25" customHeight="1" x14ac:dyDescent="0.2">
      <c r="B871" s="110"/>
      <c r="E871" s="87"/>
      <c r="K871" s="110"/>
      <c r="L871" s="111"/>
    </row>
    <row r="872" spans="2:12" ht="14.25" customHeight="1" x14ac:dyDescent="0.2">
      <c r="B872" s="110"/>
      <c r="E872" s="87"/>
      <c r="K872" s="110"/>
      <c r="L872" s="111"/>
    </row>
    <row r="873" spans="2:12" ht="14.25" customHeight="1" x14ac:dyDescent="0.2">
      <c r="B873" s="110"/>
      <c r="E873" s="87"/>
      <c r="K873" s="110"/>
      <c r="L873" s="111"/>
    </row>
    <row r="874" spans="2:12" ht="14.25" customHeight="1" x14ac:dyDescent="0.2">
      <c r="B874" s="110"/>
      <c r="E874" s="87"/>
      <c r="K874" s="110"/>
      <c r="L874" s="111"/>
    </row>
    <row r="875" spans="2:12" ht="14.25" customHeight="1" x14ac:dyDescent="0.2">
      <c r="B875" s="110"/>
      <c r="E875" s="87"/>
      <c r="K875" s="110"/>
      <c r="L875" s="111"/>
    </row>
    <row r="876" spans="2:12" ht="14.25" customHeight="1" x14ac:dyDescent="0.2">
      <c r="B876" s="110"/>
      <c r="E876" s="87"/>
      <c r="K876" s="110"/>
      <c r="L876" s="111"/>
    </row>
    <row r="877" spans="2:12" ht="14.25" customHeight="1" x14ac:dyDescent="0.2">
      <c r="B877" s="110"/>
      <c r="E877" s="87"/>
      <c r="K877" s="110"/>
      <c r="L877" s="111"/>
    </row>
    <row r="878" spans="2:12" ht="14.25" customHeight="1" x14ac:dyDescent="0.2">
      <c r="B878" s="110"/>
      <c r="E878" s="87"/>
      <c r="K878" s="110"/>
      <c r="L878" s="111"/>
    </row>
    <row r="879" spans="2:12" ht="14.25" customHeight="1" x14ac:dyDescent="0.2">
      <c r="B879" s="110"/>
      <c r="E879" s="87"/>
      <c r="K879" s="110"/>
      <c r="L879" s="111"/>
    </row>
    <row r="880" spans="2:12" ht="14.25" customHeight="1" x14ac:dyDescent="0.2">
      <c r="B880" s="110"/>
      <c r="E880" s="87"/>
      <c r="K880" s="110"/>
      <c r="L880" s="111"/>
    </row>
    <row r="881" spans="2:12" ht="14.25" customHeight="1" x14ac:dyDescent="0.2">
      <c r="B881" s="110"/>
      <c r="E881" s="87"/>
      <c r="K881" s="110"/>
      <c r="L881" s="111"/>
    </row>
    <row r="882" spans="2:12" ht="14.25" customHeight="1" x14ac:dyDescent="0.2">
      <c r="B882" s="110"/>
      <c r="E882" s="87"/>
      <c r="K882" s="110"/>
      <c r="L882" s="111"/>
    </row>
    <row r="883" spans="2:12" ht="14.25" customHeight="1" x14ac:dyDescent="0.2">
      <c r="B883" s="110"/>
      <c r="E883" s="87"/>
      <c r="K883" s="110"/>
      <c r="L883" s="111"/>
    </row>
    <row r="884" spans="2:12" ht="14.25" customHeight="1" x14ac:dyDescent="0.2">
      <c r="B884" s="110"/>
      <c r="E884" s="87"/>
      <c r="K884" s="110"/>
      <c r="L884" s="111"/>
    </row>
    <row r="885" spans="2:12" ht="14.25" customHeight="1" x14ac:dyDescent="0.2">
      <c r="B885" s="110"/>
      <c r="E885" s="87"/>
      <c r="K885" s="110"/>
      <c r="L885" s="111"/>
    </row>
    <row r="886" spans="2:12" ht="14.25" customHeight="1" x14ac:dyDescent="0.2">
      <c r="B886" s="110"/>
      <c r="E886" s="87"/>
      <c r="K886" s="110"/>
      <c r="L886" s="111"/>
    </row>
    <row r="887" spans="2:12" ht="14.25" customHeight="1" x14ac:dyDescent="0.2">
      <c r="B887" s="110"/>
      <c r="E887" s="87"/>
      <c r="K887" s="110"/>
      <c r="L887" s="111"/>
    </row>
    <row r="888" spans="2:12" ht="14.25" customHeight="1" x14ac:dyDescent="0.2">
      <c r="B888" s="110"/>
      <c r="E888" s="87"/>
      <c r="K888" s="110"/>
      <c r="L888" s="111"/>
    </row>
    <row r="889" spans="2:12" ht="14.25" customHeight="1" x14ac:dyDescent="0.2">
      <c r="B889" s="110"/>
      <c r="E889" s="87"/>
      <c r="K889" s="110"/>
      <c r="L889" s="111"/>
    </row>
    <row r="890" spans="2:12" ht="14.25" customHeight="1" x14ac:dyDescent="0.2">
      <c r="B890" s="110"/>
      <c r="E890" s="87"/>
      <c r="K890" s="110"/>
      <c r="L890" s="111"/>
    </row>
    <row r="891" spans="2:12" ht="14.25" customHeight="1" x14ac:dyDescent="0.2">
      <c r="B891" s="110"/>
      <c r="E891" s="87"/>
      <c r="K891" s="110"/>
      <c r="L891" s="111"/>
    </row>
    <row r="892" spans="2:12" ht="14.25" customHeight="1" x14ac:dyDescent="0.2">
      <c r="B892" s="110"/>
      <c r="E892" s="87"/>
      <c r="K892" s="110"/>
      <c r="L892" s="111"/>
    </row>
    <row r="893" spans="2:12" ht="14.25" customHeight="1" x14ac:dyDescent="0.2">
      <c r="B893" s="110"/>
      <c r="E893" s="87"/>
      <c r="K893" s="110"/>
      <c r="L893" s="111"/>
    </row>
    <row r="894" spans="2:12" ht="14.25" customHeight="1" x14ac:dyDescent="0.2">
      <c r="B894" s="110"/>
      <c r="E894" s="87"/>
      <c r="K894" s="110"/>
      <c r="L894" s="111"/>
    </row>
    <row r="895" spans="2:12" ht="14.25" customHeight="1" x14ac:dyDescent="0.2">
      <c r="B895" s="110"/>
      <c r="E895" s="87"/>
      <c r="K895" s="110"/>
      <c r="L895" s="111"/>
    </row>
    <row r="896" spans="2:12" ht="14.25" customHeight="1" x14ac:dyDescent="0.2">
      <c r="B896" s="110"/>
      <c r="E896" s="87"/>
      <c r="K896" s="110"/>
      <c r="L896" s="111"/>
    </row>
    <row r="897" spans="2:12" ht="14.25" customHeight="1" x14ac:dyDescent="0.2">
      <c r="B897" s="110"/>
      <c r="E897" s="87"/>
      <c r="K897" s="110"/>
      <c r="L897" s="111"/>
    </row>
    <row r="898" spans="2:12" ht="14.25" customHeight="1" x14ac:dyDescent="0.2">
      <c r="B898" s="110"/>
      <c r="E898" s="87"/>
      <c r="K898" s="110"/>
      <c r="L898" s="111"/>
    </row>
    <row r="899" spans="2:12" ht="14.25" customHeight="1" x14ac:dyDescent="0.2">
      <c r="B899" s="110"/>
      <c r="E899" s="87"/>
      <c r="K899" s="110"/>
      <c r="L899" s="111"/>
    </row>
    <row r="900" spans="2:12" ht="14.25" customHeight="1" x14ac:dyDescent="0.2">
      <c r="B900" s="110"/>
      <c r="E900" s="87"/>
      <c r="K900" s="110"/>
      <c r="L900" s="111"/>
    </row>
    <row r="901" spans="2:12" ht="14.25" customHeight="1" x14ac:dyDescent="0.2">
      <c r="B901" s="110"/>
      <c r="E901" s="87"/>
      <c r="K901" s="110"/>
      <c r="L901" s="111"/>
    </row>
    <row r="902" spans="2:12" ht="14.25" customHeight="1" x14ac:dyDescent="0.2">
      <c r="B902" s="110"/>
      <c r="E902" s="87"/>
      <c r="K902" s="110"/>
      <c r="L902" s="111"/>
    </row>
    <row r="903" spans="2:12" ht="14.25" customHeight="1" x14ac:dyDescent="0.2">
      <c r="B903" s="110"/>
      <c r="E903" s="87"/>
      <c r="K903" s="110"/>
      <c r="L903" s="111"/>
    </row>
    <row r="904" spans="2:12" ht="14.25" customHeight="1" x14ac:dyDescent="0.2">
      <c r="B904" s="110"/>
      <c r="E904" s="87"/>
      <c r="K904" s="110"/>
      <c r="L904" s="111"/>
    </row>
    <row r="905" spans="2:12" ht="14.25" customHeight="1" x14ac:dyDescent="0.2">
      <c r="B905" s="110"/>
      <c r="E905" s="87"/>
      <c r="K905" s="110"/>
      <c r="L905" s="111"/>
    </row>
    <row r="906" spans="2:12" ht="14.25" customHeight="1" x14ac:dyDescent="0.2">
      <c r="B906" s="110"/>
      <c r="E906" s="87"/>
      <c r="K906" s="110"/>
      <c r="L906" s="111"/>
    </row>
    <row r="907" spans="2:12" ht="14.25" customHeight="1" x14ac:dyDescent="0.2">
      <c r="B907" s="110"/>
      <c r="E907" s="87"/>
      <c r="K907" s="110"/>
      <c r="L907" s="111"/>
    </row>
    <row r="908" spans="2:12" ht="14.25" customHeight="1" x14ac:dyDescent="0.2">
      <c r="B908" s="110"/>
      <c r="E908" s="87"/>
      <c r="K908" s="110"/>
      <c r="L908" s="111"/>
    </row>
    <row r="909" spans="2:12" ht="14.25" customHeight="1" x14ac:dyDescent="0.2">
      <c r="B909" s="110"/>
      <c r="E909" s="87"/>
      <c r="K909" s="110"/>
      <c r="L909" s="111"/>
    </row>
    <row r="910" spans="2:12" ht="14.25" customHeight="1" x14ac:dyDescent="0.2">
      <c r="B910" s="110"/>
      <c r="E910" s="87"/>
      <c r="K910" s="110"/>
      <c r="L910" s="111"/>
    </row>
    <row r="911" spans="2:12" ht="14.25" customHeight="1" x14ac:dyDescent="0.2">
      <c r="B911" s="110"/>
      <c r="E911" s="87"/>
      <c r="K911" s="110"/>
      <c r="L911" s="111"/>
    </row>
    <row r="912" spans="2:12" ht="14.25" customHeight="1" x14ac:dyDescent="0.2">
      <c r="B912" s="110"/>
      <c r="E912" s="87"/>
      <c r="K912" s="110"/>
      <c r="L912" s="111"/>
    </row>
    <row r="913" spans="2:12" ht="14.25" customHeight="1" x14ac:dyDescent="0.2">
      <c r="B913" s="110"/>
      <c r="E913" s="87"/>
      <c r="K913" s="110"/>
      <c r="L913" s="111"/>
    </row>
    <row r="914" spans="2:12" ht="14.25" customHeight="1" x14ac:dyDescent="0.2">
      <c r="B914" s="110"/>
      <c r="E914" s="87"/>
      <c r="K914" s="110"/>
      <c r="L914" s="111"/>
    </row>
    <row r="915" spans="2:12" ht="14.25" customHeight="1" x14ac:dyDescent="0.2">
      <c r="B915" s="110"/>
      <c r="E915" s="87"/>
      <c r="K915" s="110"/>
      <c r="L915" s="111"/>
    </row>
    <row r="916" spans="2:12" ht="14.25" customHeight="1" x14ac:dyDescent="0.2">
      <c r="B916" s="110"/>
      <c r="E916" s="87"/>
      <c r="K916" s="110"/>
      <c r="L916" s="111"/>
    </row>
    <row r="917" spans="2:12" ht="14.25" customHeight="1" x14ac:dyDescent="0.2">
      <c r="B917" s="110"/>
      <c r="E917" s="87"/>
      <c r="K917" s="110"/>
      <c r="L917" s="111"/>
    </row>
    <row r="918" spans="2:12" ht="14.25" customHeight="1" x14ac:dyDescent="0.2">
      <c r="B918" s="110"/>
      <c r="E918" s="87"/>
      <c r="K918" s="110"/>
      <c r="L918" s="111"/>
    </row>
    <row r="919" spans="2:12" ht="14.25" customHeight="1" x14ac:dyDescent="0.2">
      <c r="B919" s="110"/>
      <c r="E919" s="87"/>
      <c r="K919" s="110"/>
      <c r="L919" s="111"/>
    </row>
    <row r="920" spans="2:12" ht="14.25" customHeight="1" x14ac:dyDescent="0.2">
      <c r="B920" s="110"/>
      <c r="E920" s="87"/>
      <c r="K920" s="110"/>
      <c r="L920" s="111"/>
    </row>
    <row r="921" spans="2:12" ht="14.25" customHeight="1" x14ac:dyDescent="0.2">
      <c r="B921" s="110"/>
      <c r="E921" s="87"/>
      <c r="K921" s="110"/>
      <c r="L921" s="111"/>
    </row>
    <row r="922" spans="2:12" ht="14.25" customHeight="1" x14ac:dyDescent="0.2">
      <c r="B922" s="110"/>
      <c r="E922" s="87"/>
      <c r="K922" s="110"/>
      <c r="L922" s="111"/>
    </row>
    <row r="923" spans="2:12" ht="14.25" customHeight="1" x14ac:dyDescent="0.2">
      <c r="B923" s="110"/>
      <c r="E923" s="87"/>
      <c r="K923" s="110"/>
      <c r="L923" s="111"/>
    </row>
    <row r="924" spans="2:12" ht="14.25" customHeight="1" x14ac:dyDescent="0.2">
      <c r="B924" s="110"/>
      <c r="E924" s="87"/>
      <c r="K924" s="110"/>
      <c r="L924" s="111"/>
    </row>
    <row r="925" spans="2:12" ht="14.25" customHeight="1" x14ac:dyDescent="0.2">
      <c r="B925" s="110"/>
      <c r="E925" s="87"/>
      <c r="K925" s="110"/>
      <c r="L925" s="111"/>
    </row>
    <row r="926" spans="2:12" ht="14.25" customHeight="1" x14ac:dyDescent="0.2">
      <c r="B926" s="110"/>
      <c r="E926" s="87"/>
      <c r="K926" s="110"/>
      <c r="L926" s="111"/>
    </row>
    <row r="927" spans="2:12" ht="14.25" customHeight="1" x14ac:dyDescent="0.2">
      <c r="B927" s="110"/>
      <c r="E927" s="87"/>
      <c r="K927" s="110"/>
      <c r="L927" s="111"/>
    </row>
    <row r="928" spans="2:12" ht="14.25" customHeight="1" x14ac:dyDescent="0.2">
      <c r="B928" s="110"/>
      <c r="E928" s="87"/>
      <c r="K928" s="110"/>
      <c r="L928" s="111"/>
    </row>
    <row r="929" spans="2:12" ht="14.25" customHeight="1" x14ac:dyDescent="0.2">
      <c r="B929" s="110"/>
      <c r="E929" s="87"/>
      <c r="K929" s="110"/>
      <c r="L929" s="111"/>
    </row>
    <row r="930" spans="2:12" ht="14.25" customHeight="1" x14ac:dyDescent="0.2">
      <c r="B930" s="110"/>
      <c r="E930" s="87"/>
      <c r="K930" s="110"/>
      <c r="L930" s="111"/>
    </row>
    <row r="931" spans="2:12" ht="14.25" customHeight="1" x14ac:dyDescent="0.2">
      <c r="B931" s="110"/>
      <c r="E931" s="87"/>
      <c r="K931" s="110"/>
      <c r="L931" s="111"/>
    </row>
    <row r="932" spans="2:12" ht="14.25" customHeight="1" x14ac:dyDescent="0.2">
      <c r="B932" s="110"/>
      <c r="E932" s="87"/>
      <c r="K932" s="110"/>
      <c r="L932" s="111"/>
    </row>
    <row r="933" spans="2:12" ht="14.25" customHeight="1" x14ac:dyDescent="0.2">
      <c r="B933" s="110"/>
      <c r="E933" s="87"/>
      <c r="K933" s="110"/>
      <c r="L933" s="111"/>
    </row>
    <row r="934" spans="2:12" ht="14.25" customHeight="1" x14ac:dyDescent="0.2">
      <c r="B934" s="110"/>
      <c r="E934" s="87"/>
      <c r="K934" s="110"/>
      <c r="L934" s="111"/>
    </row>
    <row r="935" spans="2:12" ht="14.25" customHeight="1" x14ac:dyDescent="0.2">
      <c r="B935" s="110"/>
      <c r="E935" s="87"/>
      <c r="K935" s="110"/>
      <c r="L935" s="111"/>
    </row>
    <row r="936" spans="2:12" ht="14.25" customHeight="1" x14ac:dyDescent="0.2">
      <c r="B936" s="110"/>
      <c r="E936" s="87"/>
      <c r="K936" s="110"/>
      <c r="L936" s="111"/>
    </row>
    <row r="937" spans="2:12" ht="14.25" customHeight="1" x14ac:dyDescent="0.2">
      <c r="B937" s="110"/>
      <c r="E937" s="87"/>
      <c r="K937" s="110"/>
      <c r="L937" s="111"/>
    </row>
    <row r="938" spans="2:12" ht="14.25" customHeight="1" x14ac:dyDescent="0.2">
      <c r="B938" s="110"/>
      <c r="E938" s="87"/>
      <c r="K938" s="110"/>
      <c r="L938" s="111"/>
    </row>
    <row r="939" spans="2:12" ht="14.25" customHeight="1" x14ac:dyDescent="0.2">
      <c r="B939" s="110"/>
      <c r="E939" s="87"/>
      <c r="K939" s="110"/>
      <c r="L939" s="111"/>
    </row>
    <row r="940" spans="2:12" ht="14.25" customHeight="1" x14ac:dyDescent="0.2">
      <c r="B940" s="110"/>
      <c r="E940" s="87"/>
      <c r="K940" s="110"/>
      <c r="L940" s="111"/>
    </row>
    <row r="941" spans="2:12" ht="14.25" customHeight="1" x14ac:dyDescent="0.2">
      <c r="B941" s="110"/>
      <c r="E941" s="87"/>
      <c r="K941" s="110"/>
      <c r="L941" s="111"/>
    </row>
    <row r="942" spans="2:12" ht="14.25" customHeight="1" x14ac:dyDescent="0.2">
      <c r="B942" s="110"/>
      <c r="E942" s="87"/>
      <c r="K942" s="110"/>
      <c r="L942" s="111"/>
    </row>
    <row r="943" spans="2:12" ht="14.25" customHeight="1" x14ac:dyDescent="0.2">
      <c r="B943" s="110"/>
      <c r="E943" s="87"/>
      <c r="K943" s="110"/>
      <c r="L943" s="111"/>
    </row>
    <row r="944" spans="2:12" ht="14.25" customHeight="1" x14ac:dyDescent="0.2">
      <c r="B944" s="110"/>
      <c r="E944" s="87"/>
      <c r="K944" s="110"/>
      <c r="L944" s="111"/>
    </row>
    <row r="945" spans="2:12" ht="14.25" customHeight="1" x14ac:dyDescent="0.2">
      <c r="B945" s="110"/>
      <c r="E945" s="87"/>
      <c r="K945" s="110"/>
      <c r="L945" s="111"/>
    </row>
    <row r="946" spans="2:12" ht="14.25" customHeight="1" x14ac:dyDescent="0.2">
      <c r="B946" s="110"/>
      <c r="E946" s="87"/>
      <c r="K946" s="110"/>
      <c r="L946" s="111"/>
    </row>
    <row r="947" spans="2:12" ht="14.25" customHeight="1" x14ac:dyDescent="0.2">
      <c r="B947" s="110"/>
      <c r="E947" s="87"/>
      <c r="K947" s="110"/>
      <c r="L947" s="111"/>
    </row>
    <row r="948" spans="2:12" ht="14.25" customHeight="1" x14ac:dyDescent="0.2">
      <c r="B948" s="110"/>
      <c r="E948" s="87"/>
      <c r="K948" s="110"/>
      <c r="L948" s="111"/>
    </row>
    <row r="949" spans="2:12" ht="14.25" customHeight="1" x14ac:dyDescent="0.2">
      <c r="B949" s="110"/>
      <c r="E949" s="87"/>
      <c r="K949" s="110"/>
      <c r="L949" s="111"/>
    </row>
    <row r="950" spans="2:12" ht="14.25" customHeight="1" x14ac:dyDescent="0.2">
      <c r="B950" s="110"/>
      <c r="E950" s="87"/>
      <c r="K950" s="110"/>
      <c r="L950" s="111"/>
    </row>
    <row r="951" spans="2:12" ht="14.25" customHeight="1" x14ac:dyDescent="0.2">
      <c r="B951" s="110"/>
      <c r="E951" s="87"/>
      <c r="K951" s="110"/>
      <c r="L951" s="111"/>
    </row>
    <row r="952" spans="2:12" ht="14.25" customHeight="1" x14ac:dyDescent="0.2">
      <c r="B952" s="110"/>
      <c r="E952" s="87"/>
      <c r="K952" s="110"/>
      <c r="L952" s="111"/>
    </row>
    <row r="953" spans="2:12" ht="14.25" customHeight="1" x14ac:dyDescent="0.2">
      <c r="B953" s="110"/>
      <c r="E953" s="87"/>
      <c r="K953" s="110"/>
      <c r="L953" s="111"/>
    </row>
    <row r="954" spans="2:12" ht="14.25" customHeight="1" x14ac:dyDescent="0.2">
      <c r="B954" s="110"/>
      <c r="E954" s="87"/>
      <c r="K954" s="110"/>
      <c r="L954" s="111"/>
    </row>
    <row r="955" spans="2:12" ht="14.25" customHeight="1" x14ac:dyDescent="0.2">
      <c r="B955" s="110"/>
      <c r="E955" s="87"/>
      <c r="K955" s="110"/>
      <c r="L955" s="111"/>
    </row>
    <row r="956" spans="2:12" ht="14.25" customHeight="1" x14ac:dyDescent="0.2">
      <c r="B956" s="110"/>
      <c r="E956" s="87"/>
      <c r="K956" s="110"/>
      <c r="L956" s="111"/>
    </row>
    <row r="957" spans="2:12" ht="14.25" customHeight="1" x14ac:dyDescent="0.2">
      <c r="B957" s="110"/>
      <c r="E957" s="87"/>
      <c r="K957" s="110"/>
      <c r="L957" s="111"/>
    </row>
    <row r="958" spans="2:12" ht="14.25" customHeight="1" x14ac:dyDescent="0.2">
      <c r="B958" s="110"/>
      <c r="E958" s="87"/>
      <c r="K958" s="110"/>
      <c r="L958" s="111"/>
    </row>
    <row r="959" spans="2:12" ht="14.25" customHeight="1" x14ac:dyDescent="0.2">
      <c r="B959" s="110"/>
      <c r="E959" s="87"/>
      <c r="K959" s="110"/>
      <c r="L959" s="111"/>
    </row>
    <row r="960" spans="2:12" ht="14.25" customHeight="1" x14ac:dyDescent="0.2">
      <c r="B960" s="110"/>
      <c r="E960" s="87"/>
      <c r="K960" s="110"/>
      <c r="L960" s="111"/>
    </row>
    <row r="961" spans="2:12" ht="14.25" customHeight="1" x14ac:dyDescent="0.2">
      <c r="B961" s="110"/>
      <c r="E961" s="87"/>
      <c r="K961" s="110"/>
      <c r="L961" s="111"/>
    </row>
    <row r="962" spans="2:12" ht="14.25" customHeight="1" x14ac:dyDescent="0.2">
      <c r="B962" s="110"/>
      <c r="E962" s="87"/>
      <c r="K962" s="110"/>
      <c r="L962" s="111"/>
    </row>
    <row r="963" spans="2:12" ht="14.25" customHeight="1" x14ac:dyDescent="0.2">
      <c r="B963" s="110"/>
      <c r="E963" s="87"/>
      <c r="K963" s="110"/>
      <c r="L963" s="111"/>
    </row>
    <row r="964" spans="2:12" ht="14.25" customHeight="1" x14ac:dyDescent="0.2">
      <c r="B964" s="110"/>
      <c r="E964" s="87"/>
      <c r="K964" s="110"/>
      <c r="L964" s="111"/>
    </row>
    <row r="965" spans="2:12" ht="14.25" customHeight="1" x14ac:dyDescent="0.2">
      <c r="B965" s="110"/>
      <c r="E965" s="87"/>
      <c r="K965" s="110"/>
      <c r="L965" s="111"/>
    </row>
    <row r="966" spans="2:12" ht="14.25" customHeight="1" x14ac:dyDescent="0.2">
      <c r="B966" s="110"/>
      <c r="E966" s="87"/>
      <c r="K966" s="110"/>
      <c r="L966" s="111"/>
    </row>
    <row r="967" spans="2:12" ht="14.25" customHeight="1" x14ac:dyDescent="0.2">
      <c r="B967" s="110"/>
      <c r="E967" s="87"/>
      <c r="K967" s="110"/>
      <c r="L967" s="111"/>
    </row>
    <row r="968" spans="2:12" ht="14.25" customHeight="1" x14ac:dyDescent="0.2">
      <c r="B968" s="110"/>
      <c r="E968" s="87"/>
      <c r="K968" s="110"/>
      <c r="L968" s="111"/>
    </row>
    <row r="969" spans="2:12" ht="14.25" customHeight="1" x14ac:dyDescent="0.2">
      <c r="B969" s="110"/>
      <c r="E969" s="87"/>
      <c r="K969" s="110"/>
      <c r="L969" s="111"/>
    </row>
    <row r="970" spans="2:12" ht="14.25" customHeight="1" x14ac:dyDescent="0.2">
      <c r="B970" s="110"/>
      <c r="E970" s="87"/>
      <c r="K970" s="110"/>
      <c r="L970" s="111"/>
    </row>
    <row r="971" spans="2:12" ht="14.25" customHeight="1" x14ac:dyDescent="0.2">
      <c r="B971" s="110"/>
      <c r="E971" s="87"/>
      <c r="K971" s="110"/>
      <c r="L971" s="111"/>
    </row>
    <row r="972" spans="2:12" ht="14.25" customHeight="1" x14ac:dyDescent="0.2">
      <c r="B972" s="110"/>
      <c r="E972" s="87"/>
      <c r="K972" s="110"/>
      <c r="L972" s="111"/>
    </row>
    <row r="973" spans="2:12" ht="14.25" customHeight="1" x14ac:dyDescent="0.2">
      <c r="B973" s="110"/>
      <c r="E973" s="87"/>
      <c r="K973" s="110"/>
      <c r="L973" s="111"/>
    </row>
    <row r="974" spans="2:12" ht="14.25" customHeight="1" x14ac:dyDescent="0.2">
      <c r="B974" s="110"/>
      <c r="E974" s="87"/>
      <c r="K974" s="110"/>
      <c r="L974" s="111"/>
    </row>
    <row r="975" spans="2:12" ht="14.25" customHeight="1" x14ac:dyDescent="0.2">
      <c r="B975" s="110"/>
      <c r="E975" s="87"/>
      <c r="K975" s="110"/>
      <c r="L975" s="111"/>
    </row>
    <row r="976" spans="2:12" ht="14.25" customHeight="1" x14ac:dyDescent="0.2">
      <c r="B976" s="110"/>
      <c r="E976" s="87"/>
      <c r="K976" s="110"/>
      <c r="L976" s="111"/>
    </row>
    <row r="977" spans="2:12" ht="14.25" customHeight="1" x14ac:dyDescent="0.2">
      <c r="B977" s="110"/>
      <c r="E977" s="87"/>
      <c r="K977" s="110"/>
      <c r="L977" s="111"/>
    </row>
    <row r="978" spans="2:12" ht="14.25" customHeight="1" x14ac:dyDescent="0.2">
      <c r="B978" s="110"/>
      <c r="E978" s="87"/>
      <c r="K978" s="110"/>
      <c r="L978" s="111"/>
    </row>
    <row r="979" spans="2:12" ht="14.25" customHeight="1" x14ac:dyDescent="0.2">
      <c r="B979" s="110"/>
      <c r="E979" s="87"/>
      <c r="K979" s="110"/>
      <c r="L979" s="111"/>
    </row>
    <row r="980" spans="2:12" ht="14.25" customHeight="1" x14ac:dyDescent="0.2">
      <c r="B980" s="110"/>
      <c r="E980" s="87"/>
      <c r="K980" s="110"/>
      <c r="L980" s="111"/>
    </row>
    <row r="981" spans="2:12" ht="14.25" customHeight="1" x14ac:dyDescent="0.2">
      <c r="B981" s="110"/>
      <c r="E981" s="87"/>
      <c r="K981" s="110"/>
      <c r="L981" s="111"/>
    </row>
    <row r="982" spans="2:12" ht="14.25" customHeight="1" x14ac:dyDescent="0.2">
      <c r="B982" s="110"/>
      <c r="E982" s="87"/>
      <c r="K982" s="110"/>
      <c r="L982" s="111"/>
    </row>
    <row r="983" spans="2:12" ht="14.25" customHeight="1" x14ac:dyDescent="0.2">
      <c r="B983" s="110"/>
      <c r="E983" s="87"/>
      <c r="K983" s="110"/>
      <c r="L983" s="111"/>
    </row>
    <row r="984" spans="2:12" ht="14.25" customHeight="1" x14ac:dyDescent="0.2">
      <c r="B984" s="110"/>
      <c r="E984" s="87"/>
      <c r="K984" s="110"/>
      <c r="L984" s="111"/>
    </row>
    <row r="985" spans="2:12" ht="14.25" customHeight="1" x14ac:dyDescent="0.2">
      <c r="B985" s="110"/>
      <c r="E985" s="87"/>
      <c r="K985" s="110"/>
      <c r="L985" s="111"/>
    </row>
    <row r="986" spans="2:12" ht="14.25" customHeight="1" x14ac:dyDescent="0.2">
      <c r="B986" s="110"/>
      <c r="E986" s="87"/>
      <c r="K986" s="110"/>
      <c r="L986" s="111"/>
    </row>
    <row r="987" spans="2:12" ht="14.25" customHeight="1" x14ac:dyDescent="0.2">
      <c r="B987" s="110"/>
      <c r="E987" s="87"/>
      <c r="K987" s="110"/>
      <c r="L987" s="111"/>
    </row>
    <row r="988" spans="2:12" ht="14.25" customHeight="1" x14ac:dyDescent="0.2">
      <c r="B988" s="110"/>
      <c r="E988" s="87"/>
      <c r="K988" s="110"/>
      <c r="L988" s="111"/>
    </row>
    <row r="989" spans="2:12" ht="14.25" customHeight="1" x14ac:dyDescent="0.2">
      <c r="B989" s="110"/>
      <c r="E989" s="87"/>
      <c r="K989" s="110"/>
      <c r="L989" s="111"/>
    </row>
    <row r="990" spans="2:12" ht="14.25" customHeight="1" x14ac:dyDescent="0.2">
      <c r="B990" s="110"/>
      <c r="E990" s="87"/>
      <c r="K990" s="110"/>
      <c r="L990" s="111"/>
    </row>
    <row r="991" spans="2:12" ht="14.25" customHeight="1" x14ac:dyDescent="0.2">
      <c r="B991" s="110"/>
      <c r="E991" s="87"/>
      <c r="K991" s="110"/>
      <c r="L991" s="111"/>
    </row>
    <row r="992" spans="2:12" ht="14.25" customHeight="1" x14ac:dyDescent="0.2">
      <c r="B992" s="110"/>
      <c r="E992" s="87"/>
      <c r="K992" s="110"/>
      <c r="L992" s="111"/>
    </row>
    <row r="993" spans="2:12" ht="14.25" customHeight="1" x14ac:dyDescent="0.2">
      <c r="B993" s="110"/>
      <c r="E993" s="87"/>
      <c r="K993" s="110"/>
      <c r="L993" s="111"/>
    </row>
    <row r="994" spans="2:12" ht="14.25" customHeight="1" x14ac:dyDescent="0.2">
      <c r="B994" s="110"/>
      <c r="E994" s="87"/>
      <c r="K994" s="110"/>
      <c r="L994" s="111"/>
    </row>
    <row r="995" spans="2:12" ht="14.25" customHeight="1" x14ac:dyDescent="0.2">
      <c r="B995" s="110"/>
      <c r="E995" s="87"/>
      <c r="K995" s="110"/>
      <c r="L995" s="111"/>
    </row>
    <row r="996" spans="2:12" ht="14.25" customHeight="1" x14ac:dyDescent="0.2">
      <c r="B996" s="110"/>
      <c r="E996" s="87"/>
      <c r="K996" s="110"/>
      <c r="L996" s="111"/>
    </row>
    <row r="997" spans="2:12" ht="14.25" customHeight="1" x14ac:dyDescent="0.2">
      <c r="B997" s="110"/>
      <c r="E997" s="87"/>
      <c r="K997" s="110"/>
      <c r="L997" s="111"/>
    </row>
    <row r="998" spans="2:12" ht="14.25" customHeight="1" x14ac:dyDescent="0.2">
      <c r="B998" s="110"/>
      <c r="E998" s="87"/>
      <c r="K998" s="110"/>
      <c r="L998" s="111"/>
    </row>
    <row r="999" spans="2:12" ht="14.25" customHeight="1" x14ac:dyDescent="0.2">
      <c r="B999" s="110"/>
      <c r="E999" s="87"/>
      <c r="K999" s="110"/>
      <c r="L999" s="111"/>
    </row>
    <row r="1000" spans="2:12" ht="14.25" customHeight="1" x14ac:dyDescent="0.2">
      <c r="B1000" s="110"/>
      <c r="E1000" s="87"/>
      <c r="K1000" s="110"/>
      <c r="L1000" s="111"/>
    </row>
    <row r="1001" spans="2:12" ht="14.25" customHeight="1" x14ac:dyDescent="0.2">
      <c r="B1001" s="110"/>
      <c r="E1001" s="87"/>
      <c r="K1001" s="110"/>
      <c r="L1001" s="111"/>
    </row>
    <row r="1002" spans="2:12" ht="14.25" customHeight="1" x14ac:dyDescent="0.2">
      <c r="B1002" s="110"/>
      <c r="E1002" s="87"/>
      <c r="K1002" s="110"/>
      <c r="L1002" s="111"/>
    </row>
    <row r="1003" spans="2:12" ht="14.25" customHeight="1" x14ac:dyDescent="0.2">
      <c r="B1003" s="110"/>
      <c r="E1003" s="87"/>
      <c r="K1003" s="110"/>
      <c r="L1003" s="111"/>
    </row>
    <row r="1004" spans="2:12" ht="14.25" customHeight="1" x14ac:dyDescent="0.2">
      <c r="B1004" s="110"/>
      <c r="E1004" s="87"/>
      <c r="K1004" s="110"/>
      <c r="L1004" s="111"/>
    </row>
    <row r="1005" spans="2:12" ht="14.25" customHeight="1" x14ac:dyDescent="0.2">
      <c r="B1005" s="110"/>
      <c r="E1005" s="87"/>
      <c r="K1005" s="110"/>
      <c r="L1005" s="111"/>
    </row>
    <row r="1006" spans="2:12" ht="14.25" customHeight="1" x14ac:dyDescent="0.2">
      <c r="B1006" s="110"/>
      <c r="E1006" s="87"/>
      <c r="K1006" s="110"/>
      <c r="L1006" s="111"/>
    </row>
    <row r="1007" spans="2:12" ht="14.25" customHeight="1" x14ac:dyDescent="0.2">
      <c r="B1007" s="110"/>
      <c r="E1007" s="87"/>
      <c r="K1007" s="110"/>
      <c r="L1007" s="111"/>
    </row>
    <row r="1008" spans="2:12" ht="14.25" customHeight="1" x14ac:dyDescent="0.2">
      <c r="B1008" s="110"/>
      <c r="E1008" s="87"/>
      <c r="K1008" s="110"/>
      <c r="L1008" s="111"/>
    </row>
    <row r="1009" spans="2:12" ht="14.25" customHeight="1" x14ac:dyDescent="0.2">
      <c r="B1009" s="110"/>
      <c r="E1009" s="87"/>
      <c r="K1009" s="110"/>
      <c r="L1009" s="111"/>
    </row>
    <row r="1010" spans="2:12" ht="14.25" customHeight="1" x14ac:dyDescent="0.2">
      <c r="B1010" s="110"/>
      <c r="E1010" s="87"/>
      <c r="K1010" s="110"/>
      <c r="L1010" s="111"/>
    </row>
    <row r="1011" spans="2:12" ht="14.25" customHeight="1" x14ac:dyDescent="0.2">
      <c r="B1011" s="110"/>
      <c r="E1011" s="87"/>
      <c r="K1011" s="110"/>
      <c r="L1011" s="111"/>
    </row>
    <row r="1012" spans="2:12" ht="14.25" customHeight="1" x14ac:dyDescent="0.2">
      <c r="B1012" s="110"/>
      <c r="E1012" s="87"/>
      <c r="K1012" s="110"/>
      <c r="L1012" s="111"/>
    </row>
    <row r="1013" spans="2:12" ht="14.25" customHeight="1" x14ac:dyDescent="0.2">
      <c r="B1013" s="110"/>
      <c r="E1013" s="87"/>
      <c r="K1013" s="110"/>
      <c r="L1013" s="111"/>
    </row>
    <row r="1014" spans="2:12" ht="14.25" customHeight="1" x14ac:dyDescent="0.2">
      <c r="B1014" s="110"/>
      <c r="E1014" s="87"/>
      <c r="K1014" s="110"/>
      <c r="L1014" s="111"/>
    </row>
    <row r="1015" spans="2:12" ht="14.25" customHeight="1" x14ac:dyDescent="0.2">
      <c r="B1015" s="110"/>
      <c r="E1015" s="87"/>
      <c r="K1015" s="110"/>
      <c r="L1015" s="111"/>
    </row>
    <row r="1016" spans="2:12" ht="14.25" customHeight="1" x14ac:dyDescent="0.2">
      <c r="B1016" s="110"/>
      <c r="E1016" s="87"/>
      <c r="K1016" s="110"/>
      <c r="L1016" s="111"/>
    </row>
    <row r="1017" spans="2:12" ht="14.25" customHeight="1" x14ac:dyDescent="0.2">
      <c r="B1017" s="110"/>
      <c r="E1017" s="87"/>
      <c r="K1017" s="110"/>
      <c r="L1017" s="111"/>
    </row>
    <row r="1018" spans="2:12" ht="14.25" customHeight="1" x14ac:dyDescent="0.2">
      <c r="B1018" s="110"/>
      <c r="E1018" s="87"/>
      <c r="K1018" s="110"/>
      <c r="L1018" s="111"/>
    </row>
    <row r="1019" spans="2:12" ht="14.25" customHeight="1" x14ac:dyDescent="0.2">
      <c r="B1019" s="110"/>
      <c r="E1019" s="87"/>
      <c r="K1019" s="110"/>
      <c r="L1019" s="111"/>
    </row>
    <row r="1020" spans="2:12" ht="14.25" customHeight="1" x14ac:dyDescent="0.2">
      <c r="B1020" s="110"/>
      <c r="E1020" s="87"/>
      <c r="K1020" s="110"/>
      <c r="L1020" s="111"/>
    </row>
    <row r="1021" spans="2:12" ht="14.25" customHeight="1" x14ac:dyDescent="0.2">
      <c r="B1021" s="110"/>
      <c r="E1021" s="87"/>
      <c r="K1021" s="110"/>
      <c r="L1021" s="111"/>
    </row>
    <row r="1022" spans="2:12" ht="14.25" customHeight="1" x14ac:dyDescent="0.2">
      <c r="B1022" s="110"/>
      <c r="E1022" s="87"/>
      <c r="K1022" s="110"/>
      <c r="L1022" s="111"/>
    </row>
    <row r="1023" spans="2:12" ht="14.25" customHeight="1" x14ac:dyDescent="0.2">
      <c r="B1023" s="110"/>
      <c r="E1023" s="87"/>
      <c r="K1023" s="110"/>
      <c r="L1023" s="111"/>
    </row>
    <row r="1024" spans="2:12" ht="14.25" customHeight="1" x14ac:dyDescent="0.2">
      <c r="B1024" s="110"/>
      <c r="E1024" s="87"/>
      <c r="K1024" s="110"/>
      <c r="L1024" s="111"/>
    </row>
    <row r="1025" spans="2:12" ht="14.25" customHeight="1" x14ac:dyDescent="0.2">
      <c r="B1025" s="110"/>
      <c r="E1025" s="87"/>
      <c r="K1025" s="110"/>
      <c r="L1025" s="111"/>
    </row>
    <row r="1026" spans="2:12" ht="14.25" customHeight="1" x14ac:dyDescent="0.2">
      <c r="B1026" s="110"/>
      <c r="E1026" s="87"/>
      <c r="K1026" s="110"/>
      <c r="L1026" s="111"/>
    </row>
    <row r="1027" spans="2:12" ht="14.25" customHeight="1" x14ac:dyDescent="0.2">
      <c r="B1027" s="110"/>
      <c r="E1027" s="87"/>
      <c r="K1027" s="110"/>
      <c r="L1027" s="111"/>
    </row>
    <row r="1028" spans="2:12" ht="14.25" customHeight="1" x14ac:dyDescent="0.2">
      <c r="B1028" s="110"/>
      <c r="E1028" s="87"/>
      <c r="K1028" s="110"/>
      <c r="L1028" s="111"/>
    </row>
    <row r="1029" spans="2:12" ht="14.25" customHeight="1" x14ac:dyDescent="0.2">
      <c r="B1029" s="110"/>
      <c r="E1029" s="87"/>
      <c r="K1029" s="110"/>
      <c r="L1029" s="111"/>
    </row>
    <row r="1030" spans="2:12" ht="14.25" customHeight="1" x14ac:dyDescent="0.2">
      <c r="B1030" s="110"/>
      <c r="E1030" s="87"/>
      <c r="K1030" s="110"/>
      <c r="L1030" s="111"/>
    </row>
    <row r="1031" spans="2:12" ht="14.25" customHeight="1" x14ac:dyDescent="0.2">
      <c r="B1031" s="110"/>
      <c r="E1031" s="87"/>
      <c r="K1031" s="110"/>
      <c r="L1031" s="111"/>
    </row>
    <row r="1032" spans="2:12" ht="14.25" customHeight="1" x14ac:dyDescent="0.2">
      <c r="B1032" s="110"/>
      <c r="E1032" s="87"/>
      <c r="K1032" s="110"/>
      <c r="L1032" s="111"/>
    </row>
    <row r="1033" spans="2:12" ht="14.25" customHeight="1" x14ac:dyDescent="0.2">
      <c r="B1033" s="110"/>
      <c r="E1033" s="87"/>
      <c r="K1033" s="110"/>
      <c r="L1033" s="111"/>
    </row>
    <row r="1034" spans="2:12" ht="14.25" customHeight="1" x14ac:dyDescent="0.2">
      <c r="B1034" s="110"/>
      <c r="E1034" s="87"/>
      <c r="K1034" s="110"/>
      <c r="L1034" s="111"/>
    </row>
    <row r="1035" spans="2:12" ht="14.25" customHeight="1" x14ac:dyDescent="0.2">
      <c r="B1035" s="110"/>
      <c r="E1035" s="87"/>
      <c r="K1035" s="110"/>
      <c r="L1035" s="111"/>
    </row>
    <row r="1036" spans="2:12" ht="14.25" customHeight="1" x14ac:dyDescent="0.2">
      <c r="B1036" s="110"/>
      <c r="E1036" s="87"/>
      <c r="K1036" s="110"/>
      <c r="L1036" s="111"/>
    </row>
    <row r="1037" spans="2:12" ht="14.25" customHeight="1" x14ac:dyDescent="0.2">
      <c r="B1037" s="110"/>
      <c r="E1037" s="87"/>
      <c r="K1037" s="110"/>
      <c r="L1037" s="111"/>
    </row>
    <row r="1038" spans="2:12" ht="14.25" customHeight="1" x14ac:dyDescent="0.2">
      <c r="B1038" s="110"/>
      <c r="E1038" s="87"/>
      <c r="K1038" s="110"/>
      <c r="L1038" s="111"/>
    </row>
    <row r="1039" spans="2:12" ht="14.25" customHeight="1" x14ac:dyDescent="0.2">
      <c r="B1039" s="110"/>
      <c r="E1039" s="87"/>
      <c r="K1039" s="110"/>
      <c r="L1039" s="111"/>
    </row>
    <row r="1040" spans="2:12" ht="14.25" customHeight="1" x14ac:dyDescent="0.2">
      <c r="B1040" s="110"/>
      <c r="E1040" s="87"/>
      <c r="K1040" s="110"/>
      <c r="L1040" s="111"/>
    </row>
    <row r="1041" spans="2:12" ht="14.25" customHeight="1" x14ac:dyDescent="0.2">
      <c r="B1041" s="110"/>
      <c r="E1041" s="87"/>
      <c r="K1041" s="110"/>
      <c r="L1041" s="111"/>
    </row>
    <row r="1042" spans="2:12" ht="14.25" customHeight="1" x14ac:dyDescent="0.2">
      <c r="B1042" s="110"/>
      <c r="E1042" s="87"/>
      <c r="K1042" s="110"/>
      <c r="L1042" s="111"/>
    </row>
    <row r="1043" spans="2:12" ht="14.25" customHeight="1" x14ac:dyDescent="0.2">
      <c r="B1043" s="110"/>
      <c r="E1043" s="87"/>
      <c r="K1043" s="110"/>
      <c r="L1043" s="111"/>
    </row>
    <row r="1044" spans="2:12" ht="14.25" customHeight="1" x14ac:dyDescent="0.2">
      <c r="B1044" s="110"/>
      <c r="E1044" s="87"/>
      <c r="K1044" s="110"/>
      <c r="L1044" s="111"/>
    </row>
    <row r="1045" spans="2:12" ht="14.25" customHeight="1" x14ac:dyDescent="0.2">
      <c r="B1045" s="110"/>
      <c r="E1045" s="87"/>
      <c r="K1045" s="110"/>
      <c r="L1045" s="111"/>
    </row>
    <row r="1046" spans="2:12" ht="14.25" customHeight="1" x14ac:dyDescent="0.2">
      <c r="B1046" s="110"/>
      <c r="E1046" s="87"/>
      <c r="K1046" s="110"/>
      <c r="L1046" s="111"/>
    </row>
    <row r="1047" spans="2:12" ht="14.25" customHeight="1" x14ac:dyDescent="0.2">
      <c r="B1047" s="110"/>
      <c r="E1047" s="87"/>
      <c r="K1047" s="110"/>
      <c r="L1047" s="111"/>
    </row>
    <row r="1048" spans="2:12" ht="14.25" customHeight="1" x14ac:dyDescent="0.2">
      <c r="B1048" s="110"/>
      <c r="E1048" s="87"/>
      <c r="K1048" s="110"/>
      <c r="L1048" s="111"/>
    </row>
    <row r="1049" spans="2:12" ht="14.25" customHeight="1" x14ac:dyDescent="0.2">
      <c r="B1049" s="110"/>
      <c r="E1049" s="87"/>
      <c r="K1049" s="110"/>
      <c r="L1049" s="111"/>
    </row>
    <row r="1050" spans="2:12" ht="14.25" customHeight="1" x14ac:dyDescent="0.2">
      <c r="B1050" s="110"/>
      <c r="E1050" s="87"/>
      <c r="K1050" s="110"/>
      <c r="L1050" s="111"/>
    </row>
    <row r="1051" spans="2:12" ht="14.25" customHeight="1" x14ac:dyDescent="0.2">
      <c r="B1051" s="110"/>
      <c r="E1051" s="87"/>
      <c r="K1051" s="110"/>
      <c r="L1051" s="111"/>
    </row>
    <row r="1052" spans="2:12" ht="14.25" customHeight="1" x14ac:dyDescent="0.2">
      <c r="B1052" s="110"/>
      <c r="E1052" s="87"/>
      <c r="K1052" s="110"/>
      <c r="L1052" s="111"/>
    </row>
    <row r="1053" spans="2:12" ht="14.25" customHeight="1" x14ac:dyDescent="0.2">
      <c r="B1053" s="110"/>
      <c r="E1053" s="87"/>
      <c r="K1053" s="110"/>
      <c r="L1053" s="111"/>
    </row>
    <row r="1054" spans="2:12" ht="14.25" customHeight="1" x14ac:dyDescent="0.2">
      <c r="B1054" s="110"/>
      <c r="E1054" s="87"/>
      <c r="K1054" s="110"/>
      <c r="L1054" s="111"/>
    </row>
    <row r="1055" spans="2:12" ht="14.25" customHeight="1" x14ac:dyDescent="0.2">
      <c r="B1055" s="110"/>
      <c r="E1055" s="87"/>
      <c r="K1055" s="110"/>
      <c r="L1055" s="111"/>
    </row>
    <row r="1056" spans="2:12" ht="14.25" customHeight="1" x14ac:dyDescent="0.2">
      <c r="B1056" s="110"/>
      <c r="E1056" s="87"/>
      <c r="K1056" s="110"/>
      <c r="L1056" s="111"/>
    </row>
    <row r="1057" spans="2:12" ht="14.25" customHeight="1" x14ac:dyDescent="0.2">
      <c r="B1057" s="110"/>
      <c r="E1057" s="87"/>
      <c r="K1057" s="110"/>
      <c r="L1057" s="111"/>
    </row>
    <row r="1058" spans="2:12" ht="14.25" customHeight="1" x14ac:dyDescent="0.2">
      <c r="B1058" s="110"/>
      <c r="E1058" s="87"/>
      <c r="K1058" s="110"/>
      <c r="L1058" s="111"/>
    </row>
    <row r="1059" spans="2:12" ht="14.25" customHeight="1" x14ac:dyDescent="0.2">
      <c r="B1059" s="110"/>
      <c r="E1059" s="87"/>
      <c r="K1059" s="110"/>
      <c r="L1059" s="111"/>
    </row>
    <row r="1060" spans="2:12" ht="14.25" customHeight="1" x14ac:dyDescent="0.2">
      <c r="B1060" s="110"/>
      <c r="E1060" s="87"/>
      <c r="K1060" s="110"/>
      <c r="L1060" s="111"/>
    </row>
    <row r="1061" spans="2:12" ht="14.25" customHeight="1" x14ac:dyDescent="0.2">
      <c r="B1061" s="110"/>
      <c r="E1061" s="87"/>
      <c r="K1061" s="110"/>
      <c r="L1061" s="111"/>
    </row>
    <row r="1062" spans="2:12" ht="14.25" customHeight="1" x14ac:dyDescent="0.2">
      <c r="B1062" s="110"/>
      <c r="E1062" s="87"/>
      <c r="K1062" s="110"/>
      <c r="L1062" s="111"/>
    </row>
    <row r="1063" spans="2:12" ht="14.25" customHeight="1" x14ac:dyDescent="0.2">
      <c r="B1063" s="110"/>
      <c r="E1063" s="87"/>
      <c r="K1063" s="110"/>
      <c r="L1063" s="111"/>
    </row>
    <row r="1064" spans="2:12" ht="14.25" customHeight="1" x14ac:dyDescent="0.2">
      <c r="B1064" s="110"/>
      <c r="E1064" s="87"/>
      <c r="K1064" s="110"/>
      <c r="L1064" s="111"/>
    </row>
    <row r="1065" spans="2:12" ht="14.25" customHeight="1" x14ac:dyDescent="0.2">
      <c r="B1065" s="110"/>
      <c r="E1065" s="87"/>
      <c r="K1065" s="110"/>
      <c r="L1065" s="111"/>
    </row>
    <row r="1066" spans="2:12" ht="14.25" customHeight="1" x14ac:dyDescent="0.2">
      <c r="B1066" s="110"/>
      <c r="E1066" s="87"/>
      <c r="K1066" s="110"/>
      <c r="L1066" s="111"/>
    </row>
    <row r="1067" spans="2:12" ht="14.25" customHeight="1" x14ac:dyDescent="0.2">
      <c r="B1067" s="110"/>
      <c r="E1067" s="87"/>
      <c r="K1067" s="110"/>
      <c r="L1067" s="111"/>
    </row>
    <row r="1068" spans="2:12" ht="14.25" customHeight="1" x14ac:dyDescent="0.2">
      <c r="B1068" s="110"/>
      <c r="E1068" s="87"/>
      <c r="K1068" s="110"/>
      <c r="L1068" s="111"/>
    </row>
    <row r="1069" spans="2:12" ht="14.25" customHeight="1" x14ac:dyDescent="0.2">
      <c r="B1069" s="110"/>
      <c r="E1069" s="87"/>
      <c r="K1069" s="110"/>
      <c r="L1069" s="111"/>
    </row>
    <row r="1070" spans="2:12" ht="14.25" customHeight="1" x14ac:dyDescent="0.2">
      <c r="B1070" s="110"/>
      <c r="E1070" s="87"/>
      <c r="K1070" s="110"/>
      <c r="L1070" s="111"/>
    </row>
    <row r="1071" spans="2:12" ht="14.25" customHeight="1" x14ac:dyDescent="0.2">
      <c r="B1071" s="110"/>
      <c r="E1071" s="87"/>
      <c r="K1071" s="110"/>
      <c r="L1071" s="111"/>
    </row>
    <row r="1072" spans="2:12" ht="14.25" customHeight="1" x14ac:dyDescent="0.2">
      <c r="B1072" s="110"/>
      <c r="E1072" s="87"/>
      <c r="K1072" s="110"/>
      <c r="L1072" s="111"/>
    </row>
    <row r="1073" spans="2:12" ht="14.25" customHeight="1" x14ac:dyDescent="0.2">
      <c r="B1073" s="110"/>
      <c r="E1073" s="87"/>
      <c r="K1073" s="110"/>
      <c r="L1073" s="111"/>
    </row>
    <row r="1074" spans="2:12" ht="14.25" customHeight="1" x14ac:dyDescent="0.2">
      <c r="B1074" s="110"/>
      <c r="E1074" s="87"/>
      <c r="K1074" s="110"/>
      <c r="L1074" s="111"/>
    </row>
    <row r="1075" spans="2:12" ht="14.25" customHeight="1" x14ac:dyDescent="0.2">
      <c r="B1075" s="110"/>
      <c r="E1075" s="87"/>
      <c r="K1075" s="110"/>
      <c r="L1075" s="111"/>
    </row>
    <row r="1076" spans="2:12" ht="14.25" customHeight="1" x14ac:dyDescent="0.2">
      <c r="B1076" s="110"/>
      <c r="E1076" s="87"/>
      <c r="K1076" s="110"/>
      <c r="L1076" s="111"/>
    </row>
    <row r="1077" spans="2:12" ht="14.25" customHeight="1" x14ac:dyDescent="0.2">
      <c r="B1077" s="110"/>
      <c r="E1077" s="87"/>
      <c r="K1077" s="110"/>
      <c r="L1077" s="111"/>
    </row>
    <row r="1078" spans="2:12" ht="14.25" customHeight="1" x14ac:dyDescent="0.2">
      <c r="B1078" s="110"/>
      <c r="E1078" s="87"/>
      <c r="K1078" s="110"/>
      <c r="L1078" s="111"/>
    </row>
    <row r="1079" spans="2:12" ht="14.25" customHeight="1" x14ac:dyDescent="0.2">
      <c r="B1079" s="110"/>
      <c r="E1079" s="87"/>
      <c r="K1079" s="110"/>
      <c r="L1079" s="111"/>
    </row>
    <row r="1080" spans="2:12" ht="14.25" customHeight="1" x14ac:dyDescent="0.2">
      <c r="B1080" s="110"/>
      <c r="E1080" s="87"/>
      <c r="K1080" s="110"/>
      <c r="L1080" s="111"/>
    </row>
    <row r="1081" spans="2:12" ht="14.25" customHeight="1" x14ac:dyDescent="0.2">
      <c r="B1081" s="110"/>
      <c r="E1081" s="87"/>
      <c r="K1081" s="110"/>
      <c r="L1081" s="111"/>
    </row>
    <row r="1082" spans="2:12" ht="14.25" customHeight="1" x14ac:dyDescent="0.2">
      <c r="B1082" s="110"/>
      <c r="E1082" s="87"/>
      <c r="K1082" s="110"/>
      <c r="L1082" s="111"/>
    </row>
    <row r="1083" spans="2:12" ht="14.25" customHeight="1" x14ac:dyDescent="0.2">
      <c r="B1083" s="110"/>
      <c r="E1083" s="87"/>
      <c r="K1083" s="110"/>
      <c r="L1083" s="111"/>
    </row>
    <row r="1084" spans="2:12" ht="14.25" customHeight="1" x14ac:dyDescent="0.2">
      <c r="B1084" s="110"/>
      <c r="E1084" s="87"/>
      <c r="K1084" s="110"/>
      <c r="L1084" s="111"/>
    </row>
    <row r="1085" spans="2:12" ht="14.25" customHeight="1" x14ac:dyDescent="0.2">
      <c r="B1085" s="110"/>
      <c r="E1085" s="87"/>
      <c r="K1085" s="110"/>
      <c r="L1085" s="111"/>
    </row>
    <row r="1086" spans="2:12" ht="14.25" customHeight="1" x14ac:dyDescent="0.2">
      <c r="B1086" s="110"/>
      <c r="E1086" s="87"/>
      <c r="K1086" s="110"/>
      <c r="L1086" s="111"/>
    </row>
    <row r="1087" spans="2:12" ht="14.25" customHeight="1" x14ac:dyDescent="0.2">
      <c r="B1087" s="110"/>
      <c r="E1087" s="87"/>
      <c r="K1087" s="110"/>
      <c r="L1087" s="111"/>
    </row>
    <row r="1088" spans="2:12" ht="14.25" customHeight="1" x14ac:dyDescent="0.2">
      <c r="B1088" s="110"/>
      <c r="E1088" s="87"/>
      <c r="K1088" s="110"/>
      <c r="L1088" s="111"/>
    </row>
    <row r="1089" spans="2:12" ht="14.25" customHeight="1" x14ac:dyDescent="0.2">
      <c r="B1089" s="110"/>
      <c r="E1089" s="87"/>
      <c r="K1089" s="110"/>
      <c r="L1089" s="111"/>
    </row>
    <row r="1090" spans="2:12" ht="14.25" customHeight="1" x14ac:dyDescent="0.2">
      <c r="B1090" s="110"/>
      <c r="E1090" s="87"/>
      <c r="K1090" s="110"/>
      <c r="L1090" s="111"/>
    </row>
    <row r="1091" spans="2:12" ht="14.25" customHeight="1" x14ac:dyDescent="0.2">
      <c r="B1091" s="110"/>
      <c r="E1091" s="87"/>
      <c r="K1091" s="110"/>
      <c r="L1091" s="111"/>
    </row>
    <row r="1092" spans="2:12" ht="14.25" customHeight="1" x14ac:dyDescent="0.2">
      <c r="B1092" s="110"/>
      <c r="E1092" s="87"/>
      <c r="K1092" s="110"/>
      <c r="L1092" s="111"/>
    </row>
    <row r="1093" spans="2:12" ht="14.25" customHeight="1" x14ac:dyDescent="0.2">
      <c r="B1093" s="110"/>
      <c r="E1093" s="87"/>
      <c r="K1093" s="110"/>
      <c r="L1093" s="111"/>
    </row>
    <row r="1094" spans="2:12" ht="14.25" customHeight="1" x14ac:dyDescent="0.2">
      <c r="B1094" s="110"/>
      <c r="E1094" s="87"/>
      <c r="K1094" s="110"/>
      <c r="L1094" s="111"/>
    </row>
    <row r="1095" spans="2:12" ht="14.25" customHeight="1" x14ac:dyDescent="0.2">
      <c r="B1095" s="110"/>
      <c r="E1095" s="87"/>
      <c r="K1095" s="110"/>
      <c r="L1095" s="111"/>
    </row>
    <row r="1096" spans="2:12" ht="14.25" customHeight="1" x14ac:dyDescent="0.2">
      <c r="B1096" s="110"/>
      <c r="E1096" s="87"/>
      <c r="K1096" s="110"/>
      <c r="L1096" s="111"/>
    </row>
    <row r="1097" spans="2:12" ht="14.25" customHeight="1" x14ac:dyDescent="0.2">
      <c r="B1097" s="110"/>
      <c r="E1097" s="87"/>
      <c r="K1097" s="110"/>
      <c r="L1097" s="111"/>
    </row>
    <row r="1098" spans="2:12" ht="14.25" customHeight="1" x14ac:dyDescent="0.2">
      <c r="B1098" s="110"/>
      <c r="E1098" s="87"/>
      <c r="K1098" s="110"/>
      <c r="L1098" s="111"/>
    </row>
    <row r="1099" spans="2:12" ht="14.25" customHeight="1" x14ac:dyDescent="0.2">
      <c r="B1099" s="110"/>
      <c r="E1099" s="87"/>
      <c r="K1099" s="110"/>
      <c r="L1099" s="111"/>
    </row>
    <row r="1100" spans="2:12" ht="14.25" customHeight="1" x14ac:dyDescent="0.2">
      <c r="B1100" s="110"/>
      <c r="E1100" s="87"/>
      <c r="K1100" s="110"/>
      <c r="L1100" s="111"/>
    </row>
    <row r="1101" spans="2:12" ht="14.25" customHeight="1" x14ac:dyDescent="0.2">
      <c r="B1101" s="110"/>
      <c r="E1101" s="87"/>
      <c r="K1101" s="110"/>
      <c r="L1101" s="111"/>
    </row>
    <row r="1102" spans="2:12" ht="14.25" customHeight="1" x14ac:dyDescent="0.2">
      <c r="B1102" s="110"/>
      <c r="E1102" s="87"/>
      <c r="K1102" s="110"/>
      <c r="L1102" s="111"/>
    </row>
    <row r="1103" spans="2:12" ht="14.25" customHeight="1" x14ac:dyDescent="0.2">
      <c r="B1103" s="110"/>
      <c r="E1103" s="87"/>
      <c r="K1103" s="110"/>
      <c r="L1103" s="111"/>
    </row>
    <row r="1104" spans="2:12" ht="14.25" customHeight="1" x14ac:dyDescent="0.2">
      <c r="B1104" s="110"/>
      <c r="E1104" s="87"/>
      <c r="K1104" s="110"/>
      <c r="L1104" s="111"/>
    </row>
    <row r="1105" spans="2:12" ht="14.25" customHeight="1" x14ac:dyDescent="0.2">
      <c r="B1105" s="110"/>
      <c r="E1105" s="87"/>
      <c r="K1105" s="110"/>
      <c r="L1105" s="111"/>
    </row>
    <row r="1106" spans="2:12" ht="14.25" customHeight="1" x14ac:dyDescent="0.2">
      <c r="B1106" s="110"/>
      <c r="E1106" s="87"/>
      <c r="K1106" s="110"/>
      <c r="L1106" s="111"/>
    </row>
    <row r="1107" spans="2:12" ht="14.25" customHeight="1" x14ac:dyDescent="0.2">
      <c r="B1107" s="110"/>
      <c r="E1107" s="87"/>
      <c r="K1107" s="110"/>
      <c r="L1107" s="111"/>
    </row>
    <row r="1108" spans="2:12" ht="14.25" customHeight="1" x14ac:dyDescent="0.2">
      <c r="B1108" s="110"/>
      <c r="E1108" s="87"/>
      <c r="K1108" s="110"/>
      <c r="L1108" s="111"/>
    </row>
    <row r="1109" spans="2:12" ht="14.25" customHeight="1" x14ac:dyDescent="0.2">
      <c r="B1109" s="110"/>
      <c r="E1109" s="87"/>
      <c r="K1109" s="110"/>
      <c r="L1109" s="111"/>
    </row>
    <row r="1110" spans="2:12" ht="14.25" customHeight="1" x14ac:dyDescent="0.2">
      <c r="B1110" s="110"/>
      <c r="E1110" s="87"/>
      <c r="K1110" s="110"/>
      <c r="L1110" s="111"/>
    </row>
    <row r="1111" spans="2:12" ht="14.25" customHeight="1" x14ac:dyDescent="0.2">
      <c r="B1111" s="110"/>
      <c r="E1111" s="87"/>
      <c r="K1111" s="110"/>
      <c r="L1111" s="111"/>
    </row>
    <row r="1112" spans="2:12" ht="14.25" customHeight="1" x14ac:dyDescent="0.2">
      <c r="B1112" s="110"/>
      <c r="E1112" s="87"/>
      <c r="K1112" s="110"/>
      <c r="L1112" s="111"/>
    </row>
    <row r="1113" spans="2:12" ht="14.25" customHeight="1" x14ac:dyDescent="0.2">
      <c r="B1113" s="110"/>
      <c r="E1113" s="87"/>
      <c r="K1113" s="110"/>
      <c r="L1113" s="111"/>
    </row>
    <row r="1114" spans="2:12" ht="14.25" customHeight="1" x14ac:dyDescent="0.2">
      <c r="B1114" s="110"/>
      <c r="E1114" s="87"/>
      <c r="K1114" s="110"/>
      <c r="L1114" s="111"/>
    </row>
    <row r="1115" spans="2:12" ht="14.25" customHeight="1" x14ac:dyDescent="0.2">
      <c r="B1115" s="110"/>
      <c r="E1115" s="87"/>
      <c r="K1115" s="110"/>
      <c r="L1115" s="111"/>
    </row>
    <row r="1116" spans="2:12" ht="14.25" customHeight="1" x14ac:dyDescent="0.2">
      <c r="B1116" s="110"/>
      <c r="E1116" s="87"/>
      <c r="K1116" s="110"/>
      <c r="L1116" s="111"/>
    </row>
    <row r="1117" spans="2:12" ht="14.25" customHeight="1" x14ac:dyDescent="0.2">
      <c r="B1117" s="110"/>
      <c r="E1117" s="87"/>
      <c r="K1117" s="110"/>
      <c r="L1117" s="111"/>
    </row>
    <row r="1118" spans="2:12" ht="14.25" customHeight="1" x14ac:dyDescent="0.2">
      <c r="B1118" s="110"/>
      <c r="E1118" s="87"/>
      <c r="K1118" s="110"/>
      <c r="L1118" s="111"/>
    </row>
    <row r="1119" spans="2:12" ht="14.25" customHeight="1" x14ac:dyDescent="0.2">
      <c r="B1119" s="110"/>
      <c r="E1119" s="87"/>
      <c r="K1119" s="110"/>
      <c r="L1119" s="111"/>
    </row>
    <row r="1120" spans="2:12" ht="14.25" customHeight="1" x14ac:dyDescent="0.2">
      <c r="B1120" s="110"/>
      <c r="E1120" s="87"/>
      <c r="K1120" s="110"/>
      <c r="L1120" s="111"/>
    </row>
    <row r="1121" spans="2:12" ht="14.25" customHeight="1" x14ac:dyDescent="0.2">
      <c r="B1121" s="110"/>
      <c r="E1121" s="87"/>
      <c r="K1121" s="110"/>
      <c r="L1121" s="111"/>
    </row>
    <row r="1122" spans="2:12" ht="14.25" customHeight="1" x14ac:dyDescent="0.2">
      <c r="B1122" s="110"/>
      <c r="E1122" s="87"/>
      <c r="K1122" s="110"/>
      <c r="L1122" s="111"/>
    </row>
    <row r="1123" spans="2:12" ht="14.25" customHeight="1" x14ac:dyDescent="0.2">
      <c r="B1123" s="110"/>
      <c r="E1123" s="87"/>
      <c r="K1123" s="110"/>
      <c r="L1123" s="111"/>
    </row>
    <row r="1124" spans="2:12" ht="14.25" customHeight="1" x14ac:dyDescent="0.2">
      <c r="B1124" s="110"/>
      <c r="E1124" s="87"/>
      <c r="K1124" s="110"/>
      <c r="L1124" s="111"/>
    </row>
    <row r="1125" spans="2:12" ht="14.25" customHeight="1" x14ac:dyDescent="0.2">
      <c r="B1125" s="110"/>
      <c r="E1125" s="87"/>
      <c r="K1125" s="110"/>
      <c r="L1125" s="111"/>
    </row>
    <row r="1126" spans="2:12" ht="14.25" customHeight="1" x14ac:dyDescent="0.2">
      <c r="B1126" s="110"/>
      <c r="E1126" s="87"/>
      <c r="K1126" s="110"/>
      <c r="L1126" s="111"/>
    </row>
    <row r="1127" spans="2:12" ht="14.25" customHeight="1" x14ac:dyDescent="0.2">
      <c r="B1127" s="110"/>
      <c r="E1127" s="87"/>
      <c r="K1127" s="110"/>
      <c r="L1127" s="111"/>
    </row>
    <row r="1128" spans="2:12" ht="14.25" customHeight="1" x14ac:dyDescent="0.2">
      <c r="B1128" s="110"/>
      <c r="E1128" s="87"/>
      <c r="K1128" s="110"/>
      <c r="L1128" s="111"/>
    </row>
    <row r="1129" spans="2:12" ht="14.25" customHeight="1" x14ac:dyDescent="0.2">
      <c r="B1129" s="110"/>
      <c r="E1129" s="87"/>
      <c r="K1129" s="110"/>
      <c r="L1129" s="111"/>
    </row>
    <row r="1130" spans="2:12" ht="14.25" customHeight="1" x14ac:dyDescent="0.2">
      <c r="B1130" s="110"/>
      <c r="E1130" s="87"/>
      <c r="K1130" s="110"/>
      <c r="L1130" s="111"/>
    </row>
    <row r="1131" spans="2:12" ht="14.25" customHeight="1" x14ac:dyDescent="0.2">
      <c r="B1131" s="110"/>
      <c r="E1131" s="87"/>
      <c r="K1131" s="110"/>
      <c r="L1131" s="111"/>
    </row>
    <row r="1132" spans="2:12" ht="14.25" customHeight="1" x14ac:dyDescent="0.2">
      <c r="B1132" s="110"/>
      <c r="E1132" s="87"/>
      <c r="K1132" s="110"/>
      <c r="L1132" s="111"/>
    </row>
    <row r="1133" spans="2:12" ht="14.25" customHeight="1" x14ac:dyDescent="0.2">
      <c r="B1133" s="110"/>
      <c r="E1133" s="87"/>
      <c r="K1133" s="110"/>
      <c r="L1133" s="111"/>
    </row>
    <row r="1134" spans="2:12" ht="14.25" customHeight="1" x14ac:dyDescent="0.2">
      <c r="B1134" s="110"/>
      <c r="E1134" s="87"/>
      <c r="K1134" s="110"/>
      <c r="L1134" s="111"/>
    </row>
    <row r="1135" spans="2:12" ht="14.25" customHeight="1" x14ac:dyDescent="0.2">
      <c r="B1135" s="110"/>
      <c r="E1135" s="87"/>
      <c r="K1135" s="110"/>
      <c r="L1135" s="111"/>
    </row>
    <row r="1136" spans="2:12" ht="14.25" customHeight="1" x14ac:dyDescent="0.2">
      <c r="B1136" s="110"/>
      <c r="E1136" s="87"/>
      <c r="K1136" s="110"/>
      <c r="L1136" s="111"/>
    </row>
    <row r="1137" spans="2:12" ht="14.25" customHeight="1" x14ac:dyDescent="0.2">
      <c r="B1137" s="110"/>
      <c r="E1137" s="87"/>
      <c r="K1137" s="110"/>
      <c r="L1137" s="111"/>
    </row>
    <row r="1138" spans="2:12" ht="14.25" customHeight="1" x14ac:dyDescent="0.2">
      <c r="B1138" s="110"/>
      <c r="E1138" s="87"/>
      <c r="K1138" s="110"/>
      <c r="L1138" s="111"/>
    </row>
    <row r="1139" spans="2:12" ht="14.25" customHeight="1" x14ac:dyDescent="0.2">
      <c r="B1139" s="110"/>
      <c r="E1139" s="87"/>
      <c r="K1139" s="110"/>
      <c r="L1139" s="111"/>
    </row>
    <row r="1140" spans="2:12" ht="14.25" customHeight="1" x14ac:dyDescent="0.2">
      <c r="B1140" s="110"/>
      <c r="E1140" s="87"/>
      <c r="K1140" s="110"/>
      <c r="L1140" s="111"/>
    </row>
    <row r="1141" spans="2:12" ht="14.25" customHeight="1" x14ac:dyDescent="0.2">
      <c r="B1141" s="110"/>
      <c r="E1141" s="87"/>
      <c r="K1141" s="110"/>
      <c r="L1141" s="111"/>
    </row>
    <row r="1142" spans="2:12" ht="14.25" customHeight="1" x14ac:dyDescent="0.2">
      <c r="B1142" s="110"/>
      <c r="E1142" s="87"/>
      <c r="K1142" s="110"/>
      <c r="L1142" s="111"/>
    </row>
    <row r="1143" spans="2:12" ht="14.25" customHeight="1" x14ac:dyDescent="0.2">
      <c r="B1143" s="110"/>
      <c r="E1143" s="87"/>
      <c r="K1143" s="110"/>
      <c r="L1143" s="111"/>
    </row>
    <row r="1144" spans="2:12" ht="14.25" customHeight="1" x14ac:dyDescent="0.2">
      <c r="B1144" s="110"/>
      <c r="E1144" s="87"/>
      <c r="K1144" s="110"/>
      <c r="L1144" s="111"/>
    </row>
    <row r="1145" spans="2:12" ht="14.25" customHeight="1" x14ac:dyDescent="0.2">
      <c r="B1145" s="110"/>
      <c r="E1145" s="87"/>
      <c r="K1145" s="110"/>
      <c r="L1145" s="111"/>
    </row>
    <row r="1146" spans="2:12" ht="14.25" customHeight="1" x14ac:dyDescent="0.2">
      <c r="B1146" s="110"/>
      <c r="E1146" s="87"/>
      <c r="K1146" s="110"/>
      <c r="L1146" s="111"/>
    </row>
    <row r="1147" spans="2:12" ht="14.25" customHeight="1" x14ac:dyDescent="0.2">
      <c r="B1147" s="110"/>
      <c r="E1147" s="87"/>
      <c r="K1147" s="110"/>
      <c r="L1147" s="111"/>
    </row>
    <row r="1148" spans="2:12" ht="14.25" customHeight="1" x14ac:dyDescent="0.2">
      <c r="B1148" s="110"/>
      <c r="E1148" s="87"/>
      <c r="K1148" s="110"/>
      <c r="L1148" s="111"/>
    </row>
    <row r="1149" spans="2:12" ht="14.25" customHeight="1" x14ac:dyDescent="0.2">
      <c r="B1149" s="110"/>
      <c r="E1149" s="87"/>
      <c r="K1149" s="110"/>
      <c r="L1149" s="111"/>
    </row>
    <row r="1150" spans="2:12" ht="14.25" customHeight="1" x14ac:dyDescent="0.2">
      <c r="B1150" s="110"/>
      <c r="E1150" s="87"/>
      <c r="K1150" s="110"/>
      <c r="L1150" s="111"/>
    </row>
    <row r="1151" spans="2:12" ht="14.25" customHeight="1" x14ac:dyDescent="0.2">
      <c r="B1151" s="110"/>
      <c r="E1151" s="87"/>
      <c r="K1151" s="110"/>
      <c r="L1151" s="111"/>
    </row>
    <row r="1152" spans="2:12" ht="14.25" customHeight="1" x14ac:dyDescent="0.2">
      <c r="B1152" s="110"/>
      <c r="E1152" s="87"/>
      <c r="K1152" s="110"/>
      <c r="L1152" s="111"/>
    </row>
    <row r="1153" spans="2:12" ht="14.25" customHeight="1" x14ac:dyDescent="0.2">
      <c r="B1153" s="110"/>
      <c r="E1153" s="87"/>
      <c r="K1153" s="110"/>
      <c r="L1153" s="111"/>
    </row>
    <row r="1154" spans="2:12" ht="14.25" customHeight="1" x14ac:dyDescent="0.2">
      <c r="B1154" s="110"/>
      <c r="E1154" s="87"/>
      <c r="K1154" s="110"/>
      <c r="L1154" s="111"/>
    </row>
    <row r="1155" spans="2:12" ht="14.25" customHeight="1" x14ac:dyDescent="0.2">
      <c r="B1155" s="110"/>
      <c r="E1155" s="87"/>
      <c r="K1155" s="110"/>
      <c r="L1155" s="111"/>
    </row>
    <row r="1156" spans="2:12" ht="14.25" customHeight="1" x14ac:dyDescent="0.2">
      <c r="B1156" s="110"/>
      <c r="E1156" s="87"/>
      <c r="K1156" s="110"/>
      <c r="L1156" s="111"/>
    </row>
    <row r="1157" spans="2:12" ht="14.25" customHeight="1" x14ac:dyDescent="0.2">
      <c r="B1157" s="110"/>
      <c r="E1157" s="87"/>
      <c r="K1157" s="110"/>
      <c r="L1157" s="111"/>
    </row>
    <row r="1158" spans="2:12" ht="14.25" customHeight="1" x14ac:dyDescent="0.2">
      <c r="B1158" s="110"/>
      <c r="E1158" s="87"/>
      <c r="K1158" s="110"/>
      <c r="L1158" s="111"/>
    </row>
    <row r="1159" spans="2:12" ht="14.25" customHeight="1" x14ac:dyDescent="0.2">
      <c r="B1159" s="110"/>
      <c r="E1159" s="87"/>
      <c r="K1159" s="110"/>
      <c r="L1159" s="111"/>
    </row>
    <row r="1160" spans="2:12" ht="14.25" customHeight="1" x14ac:dyDescent="0.2">
      <c r="B1160" s="110"/>
      <c r="E1160" s="87"/>
      <c r="K1160" s="110"/>
      <c r="L1160" s="111"/>
    </row>
    <row r="1161" spans="2:12" ht="14.25" customHeight="1" x14ac:dyDescent="0.2">
      <c r="B1161" s="110"/>
      <c r="E1161" s="87"/>
      <c r="K1161" s="110"/>
      <c r="L1161" s="111"/>
    </row>
    <row r="1162" spans="2:12" ht="14.25" customHeight="1" x14ac:dyDescent="0.2">
      <c r="B1162" s="110"/>
      <c r="E1162" s="87"/>
      <c r="K1162" s="110"/>
      <c r="L1162" s="111"/>
    </row>
    <row r="1163" spans="2:12" ht="14.25" customHeight="1" x14ac:dyDescent="0.2">
      <c r="B1163" s="110"/>
      <c r="E1163" s="87"/>
      <c r="K1163" s="110"/>
      <c r="L1163" s="111"/>
    </row>
    <row r="1164" spans="2:12" ht="14.25" customHeight="1" x14ac:dyDescent="0.2">
      <c r="B1164" s="110"/>
      <c r="E1164" s="87"/>
      <c r="K1164" s="110"/>
      <c r="L1164" s="111"/>
    </row>
    <row r="1165" spans="2:12" ht="14.25" customHeight="1" x14ac:dyDescent="0.2">
      <c r="B1165" s="110"/>
      <c r="E1165" s="87"/>
      <c r="K1165" s="110"/>
      <c r="L1165" s="111"/>
    </row>
    <row r="1166" spans="2:12" ht="14.25" customHeight="1" x14ac:dyDescent="0.2">
      <c r="B1166" s="110"/>
      <c r="E1166" s="87"/>
      <c r="K1166" s="110"/>
      <c r="L1166" s="111"/>
    </row>
    <row r="1167" spans="2:12" ht="14.25" customHeight="1" x14ac:dyDescent="0.2">
      <c r="B1167" s="110"/>
      <c r="E1167" s="87"/>
      <c r="K1167" s="110"/>
      <c r="L1167" s="111"/>
    </row>
    <row r="1168" spans="2:12" ht="14.25" customHeight="1" x14ac:dyDescent="0.2">
      <c r="B1168" s="110"/>
      <c r="E1168" s="87"/>
      <c r="K1168" s="110"/>
      <c r="L1168" s="111"/>
    </row>
    <row r="1169" spans="2:12" ht="14.25" customHeight="1" x14ac:dyDescent="0.2">
      <c r="B1169" s="110"/>
      <c r="E1169" s="87"/>
      <c r="K1169" s="110"/>
      <c r="L1169" s="111"/>
    </row>
    <row r="1170" spans="2:12" ht="14.25" customHeight="1" x14ac:dyDescent="0.2">
      <c r="B1170" s="110"/>
      <c r="E1170" s="87"/>
      <c r="K1170" s="110"/>
      <c r="L1170" s="111"/>
    </row>
    <row r="1171" spans="2:12" ht="14.25" customHeight="1" x14ac:dyDescent="0.2">
      <c r="B1171" s="110"/>
      <c r="E1171" s="87"/>
      <c r="K1171" s="110"/>
      <c r="L1171" s="111"/>
    </row>
    <row r="1172" spans="2:12" ht="14.25" customHeight="1" x14ac:dyDescent="0.2">
      <c r="B1172" s="110"/>
      <c r="E1172" s="87"/>
      <c r="K1172" s="110"/>
      <c r="L1172" s="111"/>
    </row>
    <row r="1173" spans="2:12" ht="14.25" customHeight="1" x14ac:dyDescent="0.2">
      <c r="B1173" s="110"/>
      <c r="E1173" s="87"/>
      <c r="K1173" s="110"/>
      <c r="L1173" s="111"/>
    </row>
    <row r="1174" spans="2:12" ht="14.25" customHeight="1" x14ac:dyDescent="0.2">
      <c r="B1174" s="110"/>
      <c r="E1174" s="87"/>
      <c r="K1174" s="110"/>
      <c r="L1174" s="111"/>
    </row>
    <row r="1175" spans="2:12" ht="14.25" customHeight="1" x14ac:dyDescent="0.2">
      <c r="B1175" s="110"/>
      <c r="E1175" s="87"/>
      <c r="K1175" s="110"/>
      <c r="L1175" s="111"/>
    </row>
    <row r="1176" spans="2:12" ht="14.25" customHeight="1" x14ac:dyDescent="0.2">
      <c r="B1176" s="110"/>
      <c r="E1176" s="87"/>
      <c r="K1176" s="110"/>
      <c r="L1176" s="111"/>
    </row>
    <row r="1177" spans="2:12" ht="14.25" customHeight="1" x14ac:dyDescent="0.2">
      <c r="B1177" s="110"/>
      <c r="E1177" s="87"/>
      <c r="K1177" s="110"/>
      <c r="L1177" s="111"/>
    </row>
    <row r="1178" spans="2:12" ht="14.25" customHeight="1" x14ac:dyDescent="0.2">
      <c r="B1178" s="110"/>
      <c r="E1178" s="87"/>
      <c r="K1178" s="110"/>
      <c r="L1178" s="111"/>
    </row>
    <row r="1179" spans="2:12" ht="14.25" customHeight="1" x14ac:dyDescent="0.2">
      <c r="B1179" s="110"/>
      <c r="E1179" s="87"/>
      <c r="K1179" s="110"/>
      <c r="L1179" s="111"/>
    </row>
    <row r="1180" spans="2:12" ht="14.25" customHeight="1" x14ac:dyDescent="0.2">
      <c r="B1180" s="110"/>
      <c r="E1180" s="87"/>
      <c r="K1180" s="110"/>
      <c r="L1180" s="111"/>
    </row>
    <row r="1181" spans="2:12" ht="14.25" customHeight="1" x14ac:dyDescent="0.2">
      <c r="B1181" s="110"/>
      <c r="E1181" s="87"/>
      <c r="K1181" s="110"/>
      <c r="L1181" s="111"/>
    </row>
    <row r="1182" spans="2:12" ht="14.25" customHeight="1" x14ac:dyDescent="0.2">
      <c r="B1182" s="110"/>
      <c r="E1182" s="87"/>
      <c r="K1182" s="110"/>
      <c r="L1182" s="111"/>
    </row>
    <row r="1183" spans="2:12" ht="14.25" customHeight="1" x14ac:dyDescent="0.2">
      <c r="B1183" s="110"/>
      <c r="E1183" s="87"/>
      <c r="K1183" s="110"/>
      <c r="L1183" s="111"/>
    </row>
    <row r="1184" spans="2:12" ht="14.25" customHeight="1" x14ac:dyDescent="0.2">
      <c r="B1184" s="110"/>
      <c r="E1184" s="87"/>
      <c r="K1184" s="110"/>
      <c r="L1184" s="111"/>
    </row>
    <row r="1185" spans="2:12" ht="14.25" customHeight="1" x14ac:dyDescent="0.2">
      <c r="B1185" s="110"/>
      <c r="E1185" s="87"/>
      <c r="K1185" s="110"/>
      <c r="L1185" s="111"/>
    </row>
    <row r="1186" spans="2:12" ht="14.25" customHeight="1" x14ac:dyDescent="0.2">
      <c r="B1186" s="110"/>
      <c r="E1186" s="87"/>
      <c r="K1186" s="110"/>
      <c r="L1186" s="111"/>
    </row>
    <row r="1187" spans="2:12" ht="14.25" customHeight="1" x14ac:dyDescent="0.2">
      <c r="B1187" s="110"/>
      <c r="E1187" s="87"/>
      <c r="K1187" s="110"/>
      <c r="L1187" s="111"/>
    </row>
    <row r="1188" spans="2:12" ht="14.25" customHeight="1" x14ac:dyDescent="0.2">
      <c r="B1188" s="110"/>
      <c r="E1188" s="87"/>
      <c r="K1188" s="110"/>
      <c r="L1188" s="111"/>
    </row>
    <row r="1189" spans="2:12" ht="14.25" customHeight="1" x14ac:dyDescent="0.2">
      <c r="B1189" s="110"/>
      <c r="E1189" s="87"/>
      <c r="K1189" s="110"/>
      <c r="L1189" s="111"/>
    </row>
    <row r="1190" spans="2:12" ht="14.25" customHeight="1" x14ac:dyDescent="0.2">
      <c r="B1190" s="110"/>
      <c r="E1190" s="87"/>
      <c r="K1190" s="110"/>
      <c r="L1190" s="111"/>
    </row>
    <row r="1191" spans="2:12" ht="14.25" customHeight="1" x14ac:dyDescent="0.2">
      <c r="B1191" s="110"/>
      <c r="E1191" s="87"/>
      <c r="K1191" s="110"/>
      <c r="L1191" s="111"/>
    </row>
    <row r="1192" spans="2:12" ht="14.25" customHeight="1" x14ac:dyDescent="0.2">
      <c r="B1192" s="110"/>
      <c r="E1192" s="87"/>
      <c r="K1192" s="110"/>
      <c r="L1192" s="111"/>
    </row>
    <row r="1193" spans="2:12" ht="14.25" customHeight="1" x14ac:dyDescent="0.2">
      <c r="B1193" s="110"/>
      <c r="E1193" s="87"/>
      <c r="K1193" s="110"/>
      <c r="L1193" s="111"/>
    </row>
    <row r="1194" spans="2:12" ht="14.25" customHeight="1" x14ac:dyDescent="0.2">
      <c r="B1194" s="110"/>
      <c r="E1194" s="87"/>
      <c r="K1194" s="110"/>
      <c r="L1194" s="111"/>
    </row>
    <row r="1195" spans="2:12" ht="14.25" customHeight="1" x14ac:dyDescent="0.2">
      <c r="B1195" s="110"/>
      <c r="E1195" s="87"/>
      <c r="K1195" s="110"/>
      <c r="L1195" s="111"/>
    </row>
    <row r="1196" spans="2:12" ht="14.25" customHeight="1" x14ac:dyDescent="0.2">
      <c r="B1196" s="110"/>
      <c r="E1196" s="87"/>
      <c r="K1196" s="110"/>
      <c r="L1196" s="111"/>
    </row>
    <row r="1197" spans="2:12" ht="14.25" customHeight="1" x14ac:dyDescent="0.2">
      <c r="B1197" s="110"/>
      <c r="E1197" s="87"/>
      <c r="K1197" s="110"/>
      <c r="L1197" s="111"/>
    </row>
    <row r="1198" spans="2:12" ht="14.25" customHeight="1" x14ac:dyDescent="0.2">
      <c r="B1198" s="110"/>
      <c r="E1198" s="87"/>
      <c r="K1198" s="110"/>
      <c r="L1198" s="111"/>
    </row>
    <row r="1199" spans="2:12" ht="14.25" customHeight="1" x14ac:dyDescent="0.2">
      <c r="B1199" s="110"/>
      <c r="E1199" s="87"/>
      <c r="K1199" s="110"/>
      <c r="L1199" s="111"/>
    </row>
    <row r="1200" spans="2:12" ht="14.25" customHeight="1" x14ac:dyDescent="0.2">
      <c r="B1200" s="110"/>
      <c r="E1200" s="87"/>
      <c r="K1200" s="110"/>
      <c r="L1200" s="111"/>
    </row>
    <row r="1201" spans="2:12" ht="14.25" customHeight="1" x14ac:dyDescent="0.2">
      <c r="B1201" s="110"/>
      <c r="E1201" s="87"/>
      <c r="K1201" s="110"/>
      <c r="L1201" s="111"/>
    </row>
    <row r="1202" spans="2:12" ht="14.25" customHeight="1" x14ac:dyDescent="0.2">
      <c r="B1202" s="110"/>
      <c r="E1202" s="87"/>
      <c r="K1202" s="110"/>
      <c r="L1202" s="111"/>
    </row>
    <row r="1203" spans="2:12" ht="14.25" customHeight="1" x14ac:dyDescent="0.2">
      <c r="B1203" s="110"/>
      <c r="E1203" s="87"/>
      <c r="K1203" s="110"/>
      <c r="L1203" s="111"/>
    </row>
    <row r="1204" spans="2:12" ht="14.25" customHeight="1" x14ac:dyDescent="0.2">
      <c r="B1204" s="110"/>
      <c r="E1204" s="87"/>
      <c r="K1204" s="110"/>
      <c r="L1204" s="111"/>
    </row>
    <row r="1205" spans="2:12" ht="14.25" customHeight="1" x14ac:dyDescent="0.2">
      <c r="B1205" s="110"/>
      <c r="E1205" s="87"/>
      <c r="K1205" s="110"/>
      <c r="L1205" s="111"/>
    </row>
    <row r="1206" spans="2:12" ht="14.25" customHeight="1" x14ac:dyDescent="0.2">
      <c r="B1206" s="110"/>
      <c r="E1206" s="87"/>
      <c r="K1206" s="110"/>
      <c r="L1206" s="111"/>
    </row>
    <row r="1207" spans="2:12" ht="14.25" customHeight="1" x14ac:dyDescent="0.2">
      <c r="B1207" s="110"/>
      <c r="E1207" s="87"/>
      <c r="K1207" s="110"/>
      <c r="L1207" s="111"/>
    </row>
    <row r="1208" spans="2:12" ht="14.25" customHeight="1" x14ac:dyDescent="0.2">
      <c r="B1208" s="110"/>
      <c r="E1208" s="87"/>
      <c r="K1208" s="110"/>
      <c r="L1208" s="111"/>
    </row>
    <row r="1209" spans="2:12" ht="14.25" customHeight="1" x14ac:dyDescent="0.2">
      <c r="B1209" s="110"/>
      <c r="E1209" s="87"/>
      <c r="K1209" s="110"/>
      <c r="L1209" s="111"/>
    </row>
    <row r="1210" spans="2:12" ht="14.25" customHeight="1" x14ac:dyDescent="0.2">
      <c r="B1210" s="110"/>
      <c r="E1210" s="87"/>
      <c r="K1210" s="110"/>
      <c r="L1210" s="111"/>
    </row>
    <row r="1211" spans="2:12" ht="14.25" customHeight="1" x14ac:dyDescent="0.2">
      <c r="B1211" s="110"/>
      <c r="E1211" s="87"/>
      <c r="K1211" s="110"/>
      <c r="L1211" s="111"/>
    </row>
    <row r="1212" spans="2:12" ht="14.25" customHeight="1" x14ac:dyDescent="0.2">
      <c r="B1212" s="110"/>
      <c r="E1212" s="87"/>
      <c r="K1212" s="110"/>
      <c r="L1212" s="111"/>
    </row>
    <row r="1213" spans="2:12" ht="14.25" customHeight="1" x14ac:dyDescent="0.2">
      <c r="B1213" s="110"/>
      <c r="E1213" s="87"/>
      <c r="K1213" s="110"/>
      <c r="L1213" s="111"/>
    </row>
    <row r="1214" spans="2:12" ht="14.25" customHeight="1" x14ac:dyDescent="0.2">
      <c r="B1214" s="110"/>
      <c r="E1214" s="87"/>
      <c r="K1214" s="110"/>
      <c r="L1214" s="111"/>
    </row>
    <row r="1215" spans="2:12" ht="14.25" customHeight="1" x14ac:dyDescent="0.2">
      <c r="B1215" s="110"/>
      <c r="E1215" s="87"/>
      <c r="K1215" s="110"/>
      <c r="L1215" s="111"/>
    </row>
    <row r="1216" spans="2:12" ht="14.25" customHeight="1" x14ac:dyDescent="0.2">
      <c r="B1216" s="110"/>
      <c r="E1216" s="87"/>
      <c r="K1216" s="110"/>
      <c r="L1216" s="111"/>
    </row>
    <row r="1217" spans="2:12" ht="14.25" customHeight="1" x14ac:dyDescent="0.2">
      <c r="B1217" s="110"/>
      <c r="E1217" s="87"/>
      <c r="K1217" s="110"/>
      <c r="L1217" s="111"/>
    </row>
    <row r="1218" spans="2:12" ht="14.25" customHeight="1" x14ac:dyDescent="0.2">
      <c r="B1218" s="110"/>
      <c r="E1218" s="87"/>
      <c r="K1218" s="110"/>
      <c r="L1218" s="111"/>
    </row>
    <row r="1219" spans="2:12" ht="14.25" customHeight="1" x14ac:dyDescent="0.2">
      <c r="B1219" s="110"/>
      <c r="E1219" s="87"/>
      <c r="K1219" s="110"/>
      <c r="L1219" s="111"/>
    </row>
    <row r="1220" spans="2:12" ht="14.25" customHeight="1" x14ac:dyDescent="0.2">
      <c r="B1220" s="110"/>
      <c r="E1220" s="87"/>
      <c r="K1220" s="110"/>
      <c r="L1220" s="111"/>
    </row>
    <row r="1221" spans="2:12" ht="14.25" customHeight="1" x14ac:dyDescent="0.2">
      <c r="B1221" s="110"/>
      <c r="E1221" s="87"/>
      <c r="K1221" s="110"/>
      <c r="L1221" s="111"/>
    </row>
    <row r="1222" spans="2:12" ht="14.25" customHeight="1" x14ac:dyDescent="0.2">
      <c r="B1222" s="110"/>
      <c r="E1222" s="87"/>
      <c r="K1222" s="110"/>
      <c r="L1222" s="111"/>
    </row>
    <row r="1223" spans="2:12" ht="14.25" customHeight="1" x14ac:dyDescent="0.2">
      <c r="B1223" s="110"/>
      <c r="E1223" s="87"/>
      <c r="K1223" s="110"/>
      <c r="L1223" s="111"/>
    </row>
    <row r="1224" spans="2:12" ht="14.25" customHeight="1" x14ac:dyDescent="0.2">
      <c r="B1224" s="110"/>
      <c r="E1224" s="87"/>
      <c r="K1224" s="110"/>
      <c r="L1224" s="111"/>
    </row>
    <row r="1225" spans="2:12" ht="14.25" customHeight="1" x14ac:dyDescent="0.2">
      <c r="B1225" s="110"/>
      <c r="E1225" s="87"/>
      <c r="K1225" s="110"/>
      <c r="L1225" s="111"/>
    </row>
    <row r="1226" spans="2:12" ht="14.25" customHeight="1" x14ac:dyDescent="0.2">
      <c r="B1226" s="110"/>
      <c r="E1226" s="87"/>
      <c r="K1226" s="110"/>
      <c r="L1226" s="111"/>
    </row>
    <row r="1227" spans="2:12" ht="14.25" customHeight="1" x14ac:dyDescent="0.2">
      <c r="B1227" s="110"/>
      <c r="E1227" s="87"/>
      <c r="K1227" s="110"/>
      <c r="L1227" s="111"/>
    </row>
    <row r="1228" spans="2:12" ht="14.25" customHeight="1" x14ac:dyDescent="0.2">
      <c r="B1228" s="110"/>
      <c r="E1228" s="87"/>
      <c r="K1228" s="110"/>
      <c r="L1228" s="111"/>
    </row>
    <row r="1229" spans="2:12" ht="14.25" customHeight="1" x14ac:dyDescent="0.2">
      <c r="B1229" s="110"/>
      <c r="E1229" s="87"/>
      <c r="K1229" s="110"/>
      <c r="L1229" s="111"/>
    </row>
    <row r="1230" spans="2:12" ht="14.25" customHeight="1" x14ac:dyDescent="0.2">
      <c r="B1230" s="110"/>
      <c r="E1230" s="87"/>
      <c r="K1230" s="110"/>
      <c r="L1230" s="111"/>
    </row>
    <row r="1231" spans="2:12" ht="14.25" customHeight="1" x14ac:dyDescent="0.2">
      <c r="B1231" s="110"/>
      <c r="E1231" s="87"/>
      <c r="K1231" s="110"/>
      <c r="L1231" s="111"/>
    </row>
    <row r="1232" spans="2:12" ht="14.25" customHeight="1" x14ac:dyDescent="0.2">
      <c r="B1232" s="110"/>
      <c r="E1232" s="87"/>
      <c r="K1232" s="110"/>
      <c r="L1232" s="111"/>
    </row>
    <row r="1233" spans="2:12" ht="14.25" customHeight="1" x14ac:dyDescent="0.2">
      <c r="B1233" s="110"/>
      <c r="E1233" s="87"/>
      <c r="K1233" s="110"/>
      <c r="L1233" s="111"/>
    </row>
    <row r="1234" spans="2:12" ht="14.25" customHeight="1" x14ac:dyDescent="0.2">
      <c r="B1234" s="110"/>
      <c r="E1234" s="87"/>
      <c r="K1234" s="110"/>
      <c r="L1234" s="111"/>
    </row>
    <row r="1235" spans="2:12" ht="14.25" customHeight="1" x14ac:dyDescent="0.2">
      <c r="B1235" s="110"/>
      <c r="E1235" s="87"/>
      <c r="K1235" s="110"/>
      <c r="L1235" s="111"/>
    </row>
    <row r="1236" spans="2:12" ht="14.25" customHeight="1" x14ac:dyDescent="0.2">
      <c r="B1236" s="110"/>
      <c r="E1236" s="87"/>
      <c r="K1236" s="110"/>
      <c r="L1236" s="111"/>
    </row>
    <row r="1237" spans="2:12" ht="14.25" customHeight="1" x14ac:dyDescent="0.2">
      <c r="B1237" s="110"/>
      <c r="E1237" s="87"/>
      <c r="K1237" s="110"/>
      <c r="L1237" s="111"/>
    </row>
    <row r="1238" spans="2:12" ht="14.25" customHeight="1" x14ac:dyDescent="0.2">
      <c r="B1238" s="110"/>
      <c r="E1238" s="87"/>
      <c r="K1238" s="110"/>
      <c r="L1238" s="111"/>
    </row>
    <row r="1239" spans="2:12" ht="14.25" customHeight="1" x14ac:dyDescent="0.2">
      <c r="B1239" s="110"/>
      <c r="E1239" s="87"/>
      <c r="K1239" s="110"/>
      <c r="L1239" s="111"/>
    </row>
    <row r="1240" spans="2:12" ht="14.25" customHeight="1" x14ac:dyDescent="0.2">
      <c r="B1240" s="110"/>
      <c r="E1240" s="87"/>
      <c r="K1240" s="110"/>
      <c r="L1240" s="111"/>
    </row>
    <row r="1241" spans="2:12" ht="14.25" customHeight="1" x14ac:dyDescent="0.2">
      <c r="B1241" s="110"/>
      <c r="E1241" s="87"/>
      <c r="K1241" s="110"/>
      <c r="L1241" s="111"/>
    </row>
    <row r="1242" spans="2:12" ht="14.25" customHeight="1" x14ac:dyDescent="0.2">
      <c r="B1242" s="110"/>
      <c r="E1242" s="87"/>
      <c r="K1242" s="110"/>
      <c r="L1242" s="111"/>
    </row>
    <row r="1243" spans="2:12" ht="14.25" customHeight="1" x14ac:dyDescent="0.2">
      <c r="B1243" s="110"/>
      <c r="E1243" s="87"/>
      <c r="K1243" s="110"/>
      <c r="L1243" s="111"/>
    </row>
    <row r="1244" spans="2:12" ht="14.25" customHeight="1" x14ac:dyDescent="0.2">
      <c r="B1244" s="110"/>
      <c r="E1244" s="87"/>
      <c r="K1244" s="110"/>
      <c r="L1244" s="111"/>
    </row>
    <row r="1245" spans="2:12" ht="14.25" customHeight="1" x14ac:dyDescent="0.2">
      <c r="B1245" s="110"/>
      <c r="E1245" s="87"/>
      <c r="K1245" s="110"/>
      <c r="L1245" s="111"/>
    </row>
    <row r="1246" spans="2:12" ht="14.25" customHeight="1" x14ac:dyDescent="0.2">
      <c r="B1246" s="110"/>
      <c r="E1246" s="87"/>
      <c r="K1246" s="110"/>
      <c r="L1246" s="111"/>
    </row>
    <row r="1247" spans="2:12" ht="14.25" customHeight="1" x14ac:dyDescent="0.2">
      <c r="B1247" s="110"/>
      <c r="E1247" s="87"/>
      <c r="K1247" s="110"/>
      <c r="L1247" s="111"/>
    </row>
    <row r="1248" spans="2:12" ht="14.25" customHeight="1" x14ac:dyDescent="0.2">
      <c r="B1248" s="110"/>
      <c r="E1248" s="87"/>
      <c r="K1248" s="110"/>
      <c r="L1248" s="111"/>
    </row>
    <row r="1249" spans="2:12" ht="14.25" customHeight="1" x14ac:dyDescent="0.2">
      <c r="B1249" s="110"/>
      <c r="E1249" s="87"/>
      <c r="K1249" s="110"/>
      <c r="L1249" s="111"/>
    </row>
    <row r="1250" spans="2:12" ht="14.25" customHeight="1" x14ac:dyDescent="0.2">
      <c r="B1250" s="110"/>
      <c r="E1250" s="87"/>
      <c r="K1250" s="110"/>
      <c r="L1250" s="111"/>
    </row>
    <row r="1251" spans="2:12" ht="14.25" customHeight="1" x14ac:dyDescent="0.2">
      <c r="B1251" s="110"/>
      <c r="E1251" s="87"/>
      <c r="K1251" s="110"/>
      <c r="L1251" s="111"/>
    </row>
    <row r="1252" spans="2:12" ht="14.25" customHeight="1" x14ac:dyDescent="0.2">
      <c r="B1252" s="110"/>
      <c r="E1252" s="87"/>
      <c r="K1252" s="110"/>
      <c r="L1252" s="111"/>
    </row>
    <row r="1253" spans="2:12" ht="14.25" customHeight="1" x14ac:dyDescent="0.2">
      <c r="B1253" s="110"/>
      <c r="E1253" s="87"/>
      <c r="K1253" s="110"/>
      <c r="L1253" s="111"/>
    </row>
    <row r="1254" spans="2:12" ht="14.25" customHeight="1" x14ac:dyDescent="0.2">
      <c r="B1254" s="110"/>
      <c r="E1254" s="87"/>
      <c r="K1254" s="110"/>
      <c r="L1254" s="111"/>
    </row>
    <row r="1255" spans="2:12" ht="14.25" customHeight="1" x14ac:dyDescent="0.2">
      <c r="B1255" s="110"/>
      <c r="E1255" s="87"/>
      <c r="K1255" s="110"/>
      <c r="L1255" s="111"/>
    </row>
    <row r="1256" spans="2:12" ht="14.25" customHeight="1" x14ac:dyDescent="0.2">
      <c r="B1256" s="110"/>
      <c r="E1256" s="87"/>
      <c r="K1256" s="110"/>
      <c r="L1256" s="111"/>
    </row>
    <row r="1257" spans="2:12" ht="14.25" customHeight="1" x14ac:dyDescent="0.2">
      <c r="B1257" s="110"/>
      <c r="E1257" s="87"/>
      <c r="K1257" s="110"/>
      <c r="L1257" s="111"/>
    </row>
    <row r="1258" spans="2:12" ht="14.25" customHeight="1" x14ac:dyDescent="0.2">
      <c r="B1258" s="110"/>
      <c r="E1258" s="87"/>
      <c r="K1258" s="110"/>
      <c r="L1258" s="111"/>
    </row>
    <row r="1259" spans="2:12" ht="14.25" customHeight="1" x14ac:dyDescent="0.2">
      <c r="B1259" s="110"/>
      <c r="E1259" s="87"/>
      <c r="K1259" s="110"/>
      <c r="L1259" s="111"/>
    </row>
    <row r="1260" spans="2:12" ht="14.25" customHeight="1" x14ac:dyDescent="0.2">
      <c r="B1260" s="110"/>
      <c r="E1260" s="87"/>
      <c r="K1260" s="110"/>
      <c r="L1260" s="111"/>
    </row>
    <row r="1261" spans="2:12" ht="14.25" customHeight="1" x14ac:dyDescent="0.2">
      <c r="B1261" s="110"/>
      <c r="E1261" s="87"/>
      <c r="K1261" s="110"/>
      <c r="L1261" s="111"/>
    </row>
    <row r="1262" spans="2:12" ht="14.25" customHeight="1" x14ac:dyDescent="0.2">
      <c r="B1262" s="110"/>
      <c r="E1262" s="87"/>
      <c r="K1262" s="110"/>
      <c r="L1262" s="111"/>
    </row>
    <row r="1263" spans="2:12" ht="14.25" customHeight="1" x14ac:dyDescent="0.2">
      <c r="B1263" s="110"/>
      <c r="E1263" s="87"/>
      <c r="K1263" s="110"/>
      <c r="L1263" s="111"/>
    </row>
    <row r="1264" spans="2:12" ht="14.25" customHeight="1" x14ac:dyDescent="0.2">
      <c r="B1264" s="110"/>
      <c r="E1264" s="87"/>
      <c r="K1264" s="110"/>
      <c r="L1264" s="111"/>
    </row>
    <row r="1265" spans="2:12" ht="14.25" customHeight="1" x14ac:dyDescent="0.2">
      <c r="B1265" s="110"/>
      <c r="E1265" s="87"/>
      <c r="K1265" s="110"/>
      <c r="L1265" s="111"/>
    </row>
    <row r="1266" spans="2:12" ht="14.25" customHeight="1" x14ac:dyDescent="0.2">
      <c r="B1266" s="110"/>
      <c r="E1266" s="87"/>
      <c r="K1266" s="110"/>
      <c r="L1266" s="111"/>
    </row>
    <row r="1267" spans="2:12" ht="14.25" customHeight="1" x14ac:dyDescent="0.2">
      <c r="B1267" s="110"/>
      <c r="E1267" s="87"/>
      <c r="K1267" s="110"/>
      <c r="L1267" s="111"/>
    </row>
    <row r="1268" spans="2:12" ht="14.25" customHeight="1" x14ac:dyDescent="0.2">
      <c r="B1268" s="110"/>
      <c r="E1268" s="87"/>
      <c r="K1268" s="110"/>
      <c r="L1268" s="111"/>
    </row>
    <row r="1269" spans="2:12" ht="14.25" customHeight="1" x14ac:dyDescent="0.2">
      <c r="B1269" s="110"/>
      <c r="E1269" s="87"/>
      <c r="K1269" s="110"/>
      <c r="L1269" s="111"/>
    </row>
    <row r="1270" spans="2:12" ht="14.25" customHeight="1" x14ac:dyDescent="0.2">
      <c r="B1270" s="110"/>
      <c r="E1270" s="87"/>
      <c r="K1270" s="110"/>
      <c r="L1270" s="111"/>
    </row>
    <row r="1271" spans="2:12" ht="14.25" customHeight="1" x14ac:dyDescent="0.2">
      <c r="B1271" s="110"/>
      <c r="E1271" s="87"/>
      <c r="K1271" s="110"/>
      <c r="L1271" s="111"/>
    </row>
    <row r="1272" spans="2:12" ht="14.25" customHeight="1" x14ac:dyDescent="0.2">
      <c r="B1272" s="110"/>
      <c r="E1272" s="87"/>
      <c r="K1272" s="110"/>
      <c r="L1272" s="111"/>
    </row>
    <row r="1273" spans="2:12" ht="14.25" customHeight="1" x14ac:dyDescent="0.2">
      <c r="B1273" s="110"/>
      <c r="E1273" s="87"/>
      <c r="K1273" s="110"/>
      <c r="L1273" s="111"/>
    </row>
    <row r="1274" spans="2:12" ht="14.25" customHeight="1" x14ac:dyDescent="0.2">
      <c r="B1274" s="110"/>
      <c r="E1274" s="87"/>
      <c r="K1274" s="110"/>
      <c r="L1274" s="111"/>
    </row>
    <row r="1275" spans="2:12" ht="14.25" customHeight="1" x14ac:dyDescent="0.2">
      <c r="B1275" s="110"/>
      <c r="E1275" s="87"/>
      <c r="K1275" s="110"/>
      <c r="L1275" s="111"/>
    </row>
    <row r="1276" spans="2:12" ht="14.25" customHeight="1" x14ac:dyDescent="0.2">
      <c r="B1276" s="110"/>
      <c r="E1276" s="87"/>
      <c r="K1276" s="110"/>
      <c r="L1276" s="111"/>
    </row>
    <row r="1277" spans="2:12" ht="14.25" customHeight="1" x14ac:dyDescent="0.2">
      <c r="B1277" s="110"/>
      <c r="E1277" s="87"/>
      <c r="K1277" s="110"/>
      <c r="L1277" s="111"/>
    </row>
    <row r="1278" spans="2:12" ht="14.25" customHeight="1" x14ac:dyDescent="0.2">
      <c r="B1278" s="110"/>
      <c r="E1278" s="87"/>
      <c r="K1278" s="110"/>
      <c r="L1278" s="111"/>
    </row>
    <row r="1279" spans="2:12" ht="14.25" customHeight="1" x14ac:dyDescent="0.2">
      <c r="B1279" s="110"/>
      <c r="E1279" s="87"/>
      <c r="K1279" s="110"/>
      <c r="L1279" s="111"/>
    </row>
    <row r="1280" spans="2:12" ht="14.25" customHeight="1" x14ac:dyDescent="0.2">
      <c r="B1280" s="110"/>
      <c r="E1280" s="87"/>
      <c r="K1280" s="110"/>
      <c r="L1280" s="111"/>
    </row>
    <row r="1281" spans="2:12" ht="14.25" customHeight="1" x14ac:dyDescent="0.2">
      <c r="B1281" s="110"/>
      <c r="E1281" s="87"/>
      <c r="K1281" s="110"/>
      <c r="L1281" s="111"/>
    </row>
    <row r="1282" spans="2:12" ht="14.25" customHeight="1" x14ac:dyDescent="0.2">
      <c r="B1282" s="110"/>
      <c r="E1282" s="87"/>
      <c r="K1282" s="110"/>
      <c r="L1282" s="111"/>
    </row>
    <row r="1283" spans="2:12" ht="14.25" customHeight="1" x14ac:dyDescent="0.2">
      <c r="B1283" s="110"/>
      <c r="E1283" s="87"/>
      <c r="K1283" s="110"/>
      <c r="L1283" s="111"/>
    </row>
    <row r="1284" spans="2:12" ht="14.25" customHeight="1" x14ac:dyDescent="0.2">
      <c r="B1284" s="110"/>
      <c r="E1284" s="87"/>
      <c r="K1284" s="110"/>
      <c r="L1284" s="111"/>
    </row>
    <row r="1285" spans="2:12" ht="14.25" customHeight="1" x14ac:dyDescent="0.2">
      <c r="B1285" s="110"/>
      <c r="E1285" s="87"/>
      <c r="K1285" s="110"/>
      <c r="L1285" s="111"/>
    </row>
    <row r="1286" spans="2:12" ht="14.25" customHeight="1" x14ac:dyDescent="0.2">
      <c r="B1286" s="110"/>
      <c r="E1286" s="87"/>
      <c r="K1286" s="110"/>
      <c r="L1286" s="111"/>
    </row>
    <row r="1287" spans="2:12" ht="14.25" customHeight="1" x14ac:dyDescent="0.2">
      <c r="B1287" s="110"/>
      <c r="E1287" s="87"/>
      <c r="K1287" s="110"/>
      <c r="L1287" s="111"/>
    </row>
    <row r="1288" spans="2:12" ht="14.25" customHeight="1" x14ac:dyDescent="0.2">
      <c r="B1288" s="110"/>
      <c r="E1288" s="87"/>
      <c r="K1288" s="110"/>
      <c r="L1288" s="111"/>
    </row>
    <row r="1289" spans="2:12" ht="14.25" customHeight="1" x14ac:dyDescent="0.2">
      <c r="B1289" s="110"/>
      <c r="E1289" s="87"/>
      <c r="K1289" s="110"/>
      <c r="L1289" s="111"/>
    </row>
    <row r="1290" spans="2:12" ht="14.25" customHeight="1" x14ac:dyDescent="0.2">
      <c r="B1290" s="110"/>
      <c r="E1290" s="87"/>
      <c r="K1290" s="110"/>
      <c r="L1290" s="111"/>
    </row>
    <row r="1291" spans="2:12" ht="14.25" customHeight="1" x14ac:dyDescent="0.2">
      <c r="B1291" s="110"/>
      <c r="E1291" s="87"/>
      <c r="K1291" s="110"/>
      <c r="L1291" s="111"/>
    </row>
    <row r="1292" spans="2:12" ht="14.25" customHeight="1" x14ac:dyDescent="0.2">
      <c r="B1292" s="110"/>
      <c r="E1292" s="87"/>
      <c r="K1292" s="110"/>
      <c r="L1292" s="111"/>
    </row>
    <row r="1293" spans="2:12" ht="14.25" customHeight="1" x14ac:dyDescent="0.2">
      <c r="B1293" s="110"/>
      <c r="E1293" s="87"/>
      <c r="K1293" s="110"/>
      <c r="L1293" s="111"/>
    </row>
    <row r="1294" spans="2:12" ht="14.25" customHeight="1" x14ac:dyDescent="0.2">
      <c r="B1294" s="110"/>
      <c r="E1294" s="87"/>
      <c r="K1294" s="110"/>
      <c r="L1294" s="111"/>
    </row>
    <row r="1295" spans="2:12" ht="14.25" customHeight="1" x14ac:dyDescent="0.2">
      <c r="B1295" s="110"/>
      <c r="E1295" s="87"/>
      <c r="K1295" s="110"/>
      <c r="L1295" s="111"/>
    </row>
    <row r="1296" spans="2:12" ht="14.25" customHeight="1" x14ac:dyDescent="0.2">
      <c r="B1296" s="110"/>
      <c r="E1296" s="87"/>
      <c r="K1296" s="110"/>
      <c r="L1296" s="111"/>
    </row>
    <row r="1297" spans="2:12" ht="14.25" customHeight="1" x14ac:dyDescent="0.2">
      <c r="B1297" s="110"/>
      <c r="E1297" s="87"/>
      <c r="K1297" s="110"/>
      <c r="L1297" s="111"/>
    </row>
    <row r="1298" spans="2:12" ht="14.25" customHeight="1" x14ac:dyDescent="0.2">
      <c r="B1298" s="110"/>
      <c r="E1298" s="87"/>
      <c r="K1298" s="110"/>
      <c r="L1298" s="111"/>
    </row>
    <row r="1299" spans="2:12" ht="14.25" customHeight="1" x14ac:dyDescent="0.2">
      <c r="B1299" s="110"/>
      <c r="E1299" s="87"/>
      <c r="K1299" s="110"/>
      <c r="L1299" s="111"/>
    </row>
    <row r="1300" spans="2:12" ht="14.25" customHeight="1" x14ac:dyDescent="0.2">
      <c r="B1300" s="110"/>
      <c r="E1300" s="87"/>
      <c r="K1300" s="110"/>
      <c r="L1300" s="111"/>
    </row>
    <row r="1301" spans="2:12" ht="14.25" customHeight="1" x14ac:dyDescent="0.2">
      <c r="B1301" s="110"/>
      <c r="E1301" s="87"/>
      <c r="K1301" s="110"/>
      <c r="L1301" s="111"/>
    </row>
    <row r="1302" spans="2:12" ht="14.25" customHeight="1" x14ac:dyDescent="0.2">
      <c r="B1302" s="110"/>
      <c r="E1302" s="87"/>
      <c r="K1302" s="110"/>
      <c r="L1302" s="111"/>
    </row>
    <row r="1303" spans="2:12" ht="14.25" customHeight="1" x14ac:dyDescent="0.2">
      <c r="B1303" s="110"/>
      <c r="E1303" s="87"/>
      <c r="K1303" s="110"/>
      <c r="L1303" s="111"/>
    </row>
    <row r="1304" spans="2:12" ht="14.25" customHeight="1" x14ac:dyDescent="0.2">
      <c r="B1304" s="110"/>
      <c r="E1304" s="87"/>
      <c r="K1304" s="110"/>
      <c r="L1304" s="111"/>
    </row>
    <row r="1305" spans="2:12" ht="14.25" customHeight="1" x14ac:dyDescent="0.2">
      <c r="B1305" s="110"/>
      <c r="E1305" s="87"/>
      <c r="K1305" s="110"/>
      <c r="L1305" s="111"/>
    </row>
    <row r="1306" spans="2:12" ht="14.25" customHeight="1" x14ac:dyDescent="0.2">
      <c r="B1306" s="110"/>
      <c r="E1306" s="87"/>
      <c r="K1306" s="110"/>
      <c r="L1306" s="111"/>
    </row>
    <row r="1307" spans="2:12" ht="14.25" customHeight="1" x14ac:dyDescent="0.2">
      <c r="B1307" s="110"/>
      <c r="E1307" s="87"/>
      <c r="K1307" s="110"/>
      <c r="L1307" s="111"/>
    </row>
    <row r="1308" spans="2:12" ht="14.25" customHeight="1" x14ac:dyDescent="0.2">
      <c r="B1308" s="110"/>
      <c r="E1308" s="87"/>
      <c r="K1308" s="110"/>
      <c r="L1308" s="111"/>
    </row>
    <row r="1309" spans="2:12" ht="14.25" customHeight="1" x14ac:dyDescent="0.2">
      <c r="B1309" s="110"/>
      <c r="E1309" s="87"/>
      <c r="K1309" s="110"/>
      <c r="L1309" s="111"/>
    </row>
    <row r="1310" spans="2:12" ht="14.25" customHeight="1" x14ac:dyDescent="0.2">
      <c r="B1310" s="110"/>
      <c r="E1310" s="87"/>
      <c r="K1310" s="110"/>
      <c r="L1310" s="111"/>
    </row>
    <row r="1311" spans="2:12" ht="14.25" customHeight="1" x14ac:dyDescent="0.2">
      <c r="B1311" s="110"/>
      <c r="E1311" s="87"/>
      <c r="K1311" s="110"/>
      <c r="L1311" s="111"/>
    </row>
    <row r="1312" spans="2:12" ht="14.25" customHeight="1" x14ac:dyDescent="0.2">
      <c r="B1312" s="110"/>
      <c r="E1312" s="87"/>
      <c r="K1312" s="110"/>
      <c r="L1312" s="111"/>
    </row>
    <row r="1313" spans="2:12" ht="14.25" customHeight="1" x14ac:dyDescent="0.2">
      <c r="B1313" s="110"/>
      <c r="E1313" s="87"/>
      <c r="K1313" s="110"/>
      <c r="L1313" s="111"/>
    </row>
    <row r="1314" spans="2:12" ht="14.25" customHeight="1" x14ac:dyDescent="0.2">
      <c r="B1314" s="110"/>
      <c r="E1314" s="87"/>
      <c r="K1314" s="110"/>
      <c r="L1314" s="111"/>
    </row>
    <row r="1315" spans="2:12" ht="14.25" customHeight="1" x14ac:dyDescent="0.2">
      <c r="B1315" s="110"/>
      <c r="E1315" s="87"/>
      <c r="K1315" s="110"/>
      <c r="L1315" s="111"/>
    </row>
    <row r="1316" spans="2:12" ht="14.25" customHeight="1" x14ac:dyDescent="0.2">
      <c r="B1316" s="110"/>
      <c r="E1316" s="87"/>
      <c r="K1316" s="110"/>
      <c r="L1316" s="111"/>
    </row>
    <row r="1317" spans="2:12" ht="14.25" customHeight="1" x14ac:dyDescent="0.2">
      <c r="B1317" s="110"/>
      <c r="E1317" s="87"/>
      <c r="K1317" s="110"/>
      <c r="L1317" s="111"/>
    </row>
    <row r="1318" spans="2:12" ht="14.25" customHeight="1" x14ac:dyDescent="0.2">
      <c r="B1318" s="110"/>
      <c r="E1318" s="87"/>
      <c r="K1318" s="110"/>
      <c r="L1318" s="111"/>
    </row>
    <row r="1319" spans="2:12" ht="14.25" customHeight="1" x14ac:dyDescent="0.2">
      <c r="B1319" s="110"/>
      <c r="E1319" s="87"/>
      <c r="K1319" s="110"/>
      <c r="L1319" s="111"/>
    </row>
    <row r="1320" spans="2:12" ht="14.25" customHeight="1" x14ac:dyDescent="0.2">
      <c r="B1320" s="110"/>
      <c r="E1320" s="87"/>
      <c r="K1320" s="110"/>
      <c r="L1320" s="111"/>
    </row>
    <row r="1321" spans="2:12" ht="14.25" customHeight="1" x14ac:dyDescent="0.2">
      <c r="B1321" s="110"/>
      <c r="E1321" s="87"/>
      <c r="K1321" s="110"/>
      <c r="L1321" s="111"/>
    </row>
    <row r="1322" spans="2:12" ht="14.25" customHeight="1" x14ac:dyDescent="0.2">
      <c r="B1322" s="110"/>
      <c r="E1322" s="87"/>
      <c r="K1322" s="110"/>
      <c r="L1322" s="111"/>
    </row>
    <row r="1323" spans="2:12" ht="14.25" customHeight="1" x14ac:dyDescent="0.2">
      <c r="B1323" s="110"/>
      <c r="E1323" s="87"/>
      <c r="K1323" s="110"/>
      <c r="L1323" s="111"/>
    </row>
    <row r="1324" spans="2:12" ht="14.25" customHeight="1" x14ac:dyDescent="0.2">
      <c r="B1324" s="110"/>
      <c r="E1324" s="87"/>
      <c r="K1324" s="110"/>
      <c r="L1324" s="111"/>
    </row>
    <row r="1325" spans="2:12" ht="14.25" customHeight="1" x14ac:dyDescent="0.2">
      <c r="B1325" s="110"/>
      <c r="E1325" s="87"/>
      <c r="K1325" s="110"/>
      <c r="L1325" s="111"/>
    </row>
    <row r="1326" spans="2:12" ht="14.25" customHeight="1" x14ac:dyDescent="0.2">
      <c r="B1326" s="110"/>
      <c r="E1326" s="87"/>
      <c r="K1326" s="110"/>
      <c r="L1326" s="111"/>
    </row>
    <row r="1327" spans="2:12" ht="14.25" customHeight="1" x14ac:dyDescent="0.2">
      <c r="B1327" s="110"/>
      <c r="E1327" s="87"/>
      <c r="K1327" s="110"/>
      <c r="L1327" s="111"/>
    </row>
    <row r="1328" spans="2:12" ht="14.25" customHeight="1" x14ac:dyDescent="0.2">
      <c r="B1328" s="110"/>
      <c r="E1328" s="87"/>
      <c r="K1328" s="110"/>
      <c r="L1328" s="111"/>
    </row>
    <row r="1329" spans="2:12" ht="14.25" customHeight="1" x14ac:dyDescent="0.2">
      <c r="B1329" s="110"/>
      <c r="E1329" s="87"/>
      <c r="K1329" s="110"/>
      <c r="L1329" s="111"/>
    </row>
    <row r="1330" spans="2:12" ht="14.25" customHeight="1" x14ac:dyDescent="0.2">
      <c r="B1330" s="110"/>
      <c r="E1330" s="87"/>
      <c r="K1330" s="110"/>
      <c r="L1330" s="111"/>
    </row>
    <row r="1331" spans="2:12" ht="14.25" customHeight="1" x14ac:dyDescent="0.2">
      <c r="B1331" s="110"/>
      <c r="E1331" s="87"/>
      <c r="K1331" s="110"/>
      <c r="L1331" s="111"/>
    </row>
    <row r="1332" spans="2:12" ht="14.25" customHeight="1" x14ac:dyDescent="0.2">
      <c r="B1332" s="110"/>
      <c r="E1332" s="87"/>
      <c r="K1332" s="110"/>
      <c r="L1332" s="111"/>
    </row>
    <row r="1333" spans="2:12" ht="14.25" customHeight="1" x14ac:dyDescent="0.2">
      <c r="B1333" s="110"/>
      <c r="E1333" s="87"/>
      <c r="K1333" s="110"/>
      <c r="L1333" s="111"/>
    </row>
    <row r="1334" spans="2:12" ht="14.25" customHeight="1" x14ac:dyDescent="0.2">
      <c r="B1334" s="110"/>
      <c r="E1334" s="87"/>
      <c r="K1334" s="110"/>
      <c r="L1334" s="111"/>
    </row>
    <row r="1335" spans="2:12" ht="14.25" customHeight="1" x14ac:dyDescent="0.2">
      <c r="B1335" s="110"/>
      <c r="E1335" s="87"/>
      <c r="K1335" s="110"/>
      <c r="L1335" s="111"/>
    </row>
    <row r="1336" spans="2:12" ht="14.25" customHeight="1" x14ac:dyDescent="0.2">
      <c r="B1336" s="110"/>
      <c r="E1336" s="87"/>
      <c r="K1336" s="110"/>
      <c r="L1336" s="111"/>
    </row>
    <row r="1337" spans="2:12" ht="14.25" customHeight="1" x14ac:dyDescent="0.2">
      <c r="B1337" s="110"/>
      <c r="E1337" s="87"/>
      <c r="K1337" s="110"/>
      <c r="L1337" s="111"/>
    </row>
    <row r="1338" spans="2:12" ht="14.25" customHeight="1" x14ac:dyDescent="0.2">
      <c r="B1338" s="110"/>
      <c r="E1338" s="87"/>
      <c r="K1338" s="110"/>
      <c r="L1338" s="111"/>
    </row>
    <row r="1339" spans="2:12" ht="14.25" customHeight="1" x14ac:dyDescent="0.2">
      <c r="B1339" s="110"/>
      <c r="E1339" s="87"/>
      <c r="K1339" s="110"/>
      <c r="L1339" s="111"/>
    </row>
    <row r="1340" spans="2:12" ht="14.25" customHeight="1" x14ac:dyDescent="0.2">
      <c r="B1340" s="110"/>
      <c r="E1340" s="87"/>
      <c r="K1340" s="110"/>
      <c r="L1340" s="111"/>
    </row>
    <row r="1341" spans="2:12" ht="14.25" customHeight="1" x14ac:dyDescent="0.2">
      <c r="B1341" s="110"/>
      <c r="E1341" s="87"/>
      <c r="K1341" s="110"/>
      <c r="L1341" s="111"/>
    </row>
    <row r="1342" spans="2:12" ht="14.25" customHeight="1" x14ac:dyDescent="0.2">
      <c r="B1342" s="110"/>
      <c r="E1342" s="87"/>
      <c r="K1342" s="110"/>
      <c r="L1342" s="111"/>
    </row>
    <row r="1343" spans="2:12" ht="14.25" customHeight="1" x14ac:dyDescent="0.2">
      <c r="B1343" s="110"/>
      <c r="E1343" s="87"/>
      <c r="K1343" s="110"/>
      <c r="L1343" s="111"/>
    </row>
    <row r="1344" spans="2:12" ht="14.25" customHeight="1" x14ac:dyDescent="0.2">
      <c r="B1344" s="110"/>
      <c r="E1344" s="87"/>
      <c r="K1344" s="110"/>
      <c r="L1344" s="111"/>
    </row>
    <row r="1345" spans="2:12" ht="14.25" customHeight="1" x14ac:dyDescent="0.2">
      <c r="B1345" s="110"/>
      <c r="E1345" s="87"/>
      <c r="K1345" s="110"/>
      <c r="L1345" s="111"/>
    </row>
    <row r="1346" spans="2:12" ht="14.25" customHeight="1" x14ac:dyDescent="0.2">
      <c r="B1346" s="110"/>
      <c r="E1346" s="87"/>
      <c r="K1346" s="110"/>
      <c r="L1346" s="111"/>
    </row>
    <row r="1347" spans="2:12" ht="14.25" customHeight="1" x14ac:dyDescent="0.2">
      <c r="B1347" s="110"/>
      <c r="E1347" s="87"/>
      <c r="K1347" s="110"/>
      <c r="L1347" s="111"/>
    </row>
    <row r="1348" spans="2:12" ht="14.25" customHeight="1" x14ac:dyDescent="0.2">
      <c r="B1348" s="110"/>
      <c r="E1348" s="87"/>
      <c r="K1348" s="110"/>
      <c r="L1348" s="111"/>
    </row>
    <row r="1349" spans="2:12" ht="14.25" customHeight="1" x14ac:dyDescent="0.2">
      <c r="B1349" s="110"/>
      <c r="E1349" s="87"/>
      <c r="K1349" s="110"/>
      <c r="L1349" s="111"/>
    </row>
    <row r="1350" spans="2:12" ht="14.25" customHeight="1" x14ac:dyDescent="0.2">
      <c r="B1350" s="110"/>
      <c r="E1350" s="87"/>
      <c r="K1350" s="110"/>
      <c r="L1350" s="111"/>
    </row>
    <row r="1351" spans="2:12" ht="14.25" customHeight="1" x14ac:dyDescent="0.2">
      <c r="B1351" s="110"/>
      <c r="E1351" s="87"/>
      <c r="K1351" s="110"/>
      <c r="L1351" s="111"/>
    </row>
    <row r="1352" spans="2:12" ht="14.25" customHeight="1" x14ac:dyDescent="0.2">
      <c r="B1352" s="110"/>
      <c r="E1352" s="87"/>
      <c r="K1352" s="110"/>
      <c r="L1352" s="111"/>
    </row>
    <row r="1353" spans="2:12" ht="14.25" customHeight="1" x14ac:dyDescent="0.2">
      <c r="B1353" s="110"/>
      <c r="E1353" s="87"/>
      <c r="K1353" s="110"/>
      <c r="L1353" s="111"/>
    </row>
    <row r="1354" spans="2:12" ht="14.25" customHeight="1" x14ac:dyDescent="0.2">
      <c r="B1354" s="110"/>
      <c r="E1354" s="87"/>
      <c r="K1354" s="110"/>
      <c r="L1354" s="111"/>
    </row>
    <row r="1355" spans="2:12" ht="14.25" customHeight="1" x14ac:dyDescent="0.2">
      <c r="B1355" s="110"/>
      <c r="E1355" s="87"/>
      <c r="K1355" s="110"/>
      <c r="L1355" s="111"/>
    </row>
    <row r="1356" spans="2:12" ht="14.25" customHeight="1" x14ac:dyDescent="0.2">
      <c r="B1356" s="110"/>
      <c r="E1356" s="87"/>
      <c r="K1356" s="110"/>
      <c r="L1356" s="111"/>
    </row>
    <row r="1357" spans="2:12" ht="14.25" customHeight="1" x14ac:dyDescent="0.2">
      <c r="B1357" s="110"/>
      <c r="E1357" s="87"/>
      <c r="K1357" s="110"/>
      <c r="L1357" s="111"/>
    </row>
    <row r="1358" spans="2:12" ht="14.25" customHeight="1" x14ac:dyDescent="0.2">
      <c r="B1358" s="110"/>
      <c r="E1358" s="87"/>
      <c r="K1358" s="110"/>
      <c r="L1358" s="111"/>
    </row>
    <row r="1359" spans="2:12" ht="14.25" customHeight="1" x14ac:dyDescent="0.2">
      <c r="B1359" s="110"/>
      <c r="E1359" s="87"/>
      <c r="K1359" s="110"/>
      <c r="L1359" s="111"/>
    </row>
    <row r="1360" spans="2:12" ht="14.25" customHeight="1" x14ac:dyDescent="0.2">
      <c r="B1360" s="110"/>
      <c r="E1360" s="87"/>
      <c r="K1360" s="110"/>
      <c r="L1360" s="111"/>
    </row>
    <row r="1361" spans="2:12" ht="14.25" customHeight="1" x14ac:dyDescent="0.2">
      <c r="B1361" s="110"/>
      <c r="E1361" s="87"/>
      <c r="K1361" s="110"/>
      <c r="L1361" s="111"/>
    </row>
    <row r="1362" spans="2:12" ht="14.25" customHeight="1" x14ac:dyDescent="0.2">
      <c r="B1362" s="110"/>
      <c r="E1362" s="87"/>
      <c r="K1362" s="110"/>
      <c r="L1362" s="111"/>
    </row>
    <row r="1363" spans="2:12" ht="14.25" customHeight="1" x14ac:dyDescent="0.2">
      <c r="B1363" s="110"/>
      <c r="E1363" s="87"/>
      <c r="K1363" s="110"/>
      <c r="L1363" s="111"/>
    </row>
    <row r="1364" spans="2:12" ht="14.25" customHeight="1" x14ac:dyDescent="0.2">
      <c r="B1364" s="110"/>
      <c r="E1364" s="87"/>
      <c r="K1364" s="110"/>
      <c r="L1364" s="111"/>
    </row>
    <row r="1365" spans="2:12" ht="14.25" customHeight="1" x14ac:dyDescent="0.2">
      <c r="B1365" s="110"/>
      <c r="E1365" s="87"/>
      <c r="K1365" s="110"/>
      <c r="L1365" s="111"/>
    </row>
    <row r="1366" spans="2:12" ht="14.25" customHeight="1" x14ac:dyDescent="0.2">
      <c r="B1366" s="110"/>
      <c r="E1366" s="87"/>
      <c r="K1366" s="110"/>
      <c r="L1366" s="111"/>
    </row>
    <row r="1367" spans="2:12" ht="14.25" customHeight="1" x14ac:dyDescent="0.2">
      <c r="B1367" s="110"/>
      <c r="E1367" s="87"/>
      <c r="K1367" s="110"/>
      <c r="L1367" s="111"/>
    </row>
    <row r="1368" spans="2:12" ht="14.25" customHeight="1" x14ac:dyDescent="0.2">
      <c r="B1368" s="110"/>
      <c r="E1368" s="87"/>
      <c r="K1368" s="110"/>
      <c r="L1368" s="111"/>
    </row>
    <row r="1369" spans="2:12" ht="14.25" customHeight="1" x14ac:dyDescent="0.2">
      <c r="B1369" s="110"/>
      <c r="E1369" s="87"/>
      <c r="K1369" s="110"/>
      <c r="L1369" s="111"/>
    </row>
    <row r="1370" spans="2:12" ht="14.25" customHeight="1" x14ac:dyDescent="0.2">
      <c r="B1370" s="110"/>
      <c r="E1370" s="87"/>
      <c r="K1370" s="110"/>
      <c r="L1370" s="111"/>
    </row>
    <row r="1371" spans="2:12" ht="14.25" customHeight="1" x14ac:dyDescent="0.2">
      <c r="B1371" s="110"/>
      <c r="E1371" s="87"/>
      <c r="K1371" s="110"/>
      <c r="L1371" s="111"/>
    </row>
    <row r="1372" spans="2:12" ht="14.25" customHeight="1" x14ac:dyDescent="0.2">
      <c r="B1372" s="110"/>
      <c r="E1372" s="87"/>
      <c r="K1372" s="110"/>
      <c r="L1372" s="111"/>
    </row>
    <row r="1373" spans="2:12" ht="14.25" customHeight="1" x14ac:dyDescent="0.2">
      <c r="B1373" s="110"/>
      <c r="E1373" s="87"/>
      <c r="K1373" s="110"/>
      <c r="L1373" s="111"/>
    </row>
    <row r="1374" spans="2:12" ht="14.25" customHeight="1" x14ac:dyDescent="0.2">
      <c r="B1374" s="110"/>
      <c r="E1374" s="87"/>
      <c r="K1374" s="110"/>
      <c r="L1374" s="111"/>
    </row>
    <row r="1375" spans="2:12" ht="14.25" customHeight="1" x14ac:dyDescent="0.2">
      <c r="B1375" s="110"/>
      <c r="E1375" s="87"/>
      <c r="K1375" s="110"/>
      <c r="L1375" s="111"/>
    </row>
    <row r="1376" spans="2:12" ht="14.25" customHeight="1" x14ac:dyDescent="0.2">
      <c r="B1376" s="110"/>
      <c r="E1376" s="87"/>
      <c r="K1376" s="110"/>
      <c r="L1376" s="111"/>
    </row>
    <row r="1377" spans="2:12" ht="14.25" customHeight="1" x14ac:dyDescent="0.2">
      <c r="B1377" s="110"/>
      <c r="E1377" s="87"/>
      <c r="K1377" s="110"/>
      <c r="L1377" s="111"/>
    </row>
    <row r="1378" spans="2:12" ht="14.25" customHeight="1" x14ac:dyDescent="0.2">
      <c r="B1378" s="110"/>
      <c r="E1378" s="87"/>
      <c r="K1378" s="110"/>
      <c r="L1378" s="111"/>
    </row>
    <row r="1379" spans="2:12" ht="14.25" customHeight="1" x14ac:dyDescent="0.2">
      <c r="B1379" s="110"/>
      <c r="E1379" s="87"/>
      <c r="K1379" s="110"/>
      <c r="L1379" s="111"/>
    </row>
    <row r="1380" spans="2:12" ht="14.25" customHeight="1" x14ac:dyDescent="0.2">
      <c r="B1380" s="110"/>
      <c r="E1380" s="87"/>
      <c r="K1380" s="110"/>
      <c r="L1380" s="111"/>
    </row>
    <row r="1381" spans="2:12" ht="14.25" customHeight="1" x14ac:dyDescent="0.2">
      <c r="B1381" s="110"/>
      <c r="E1381" s="87"/>
      <c r="K1381" s="110"/>
      <c r="L1381" s="111"/>
    </row>
    <row r="1382" spans="2:12" ht="14.25" customHeight="1" x14ac:dyDescent="0.2">
      <c r="B1382" s="110"/>
      <c r="E1382" s="87"/>
      <c r="K1382" s="110"/>
      <c r="L1382" s="111"/>
    </row>
    <row r="1383" spans="2:12" ht="14.25" customHeight="1" x14ac:dyDescent="0.2">
      <c r="B1383" s="110"/>
      <c r="E1383" s="87"/>
      <c r="K1383" s="110"/>
      <c r="L1383" s="111"/>
    </row>
    <row r="1384" spans="2:12" ht="14.25" customHeight="1" x14ac:dyDescent="0.2">
      <c r="B1384" s="110"/>
      <c r="E1384" s="87"/>
      <c r="K1384" s="110"/>
      <c r="L1384" s="111"/>
    </row>
    <row r="1385" spans="2:12" ht="14.25" customHeight="1" x14ac:dyDescent="0.2">
      <c r="B1385" s="110"/>
      <c r="E1385" s="87"/>
      <c r="K1385" s="110"/>
      <c r="L1385" s="111"/>
    </row>
    <row r="1386" spans="2:12" ht="14.25" customHeight="1" x14ac:dyDescent="0.2">
      <c r="B1386" s="110"/>
      <c r="E1386" s="87"/>
      <c r="K1386" s="110"/>
      <c r="L1386" s="111"/>
    </row>
    <row r="1387" spans="2:12" ht="14.25" customHeight="1" x14ac:dyDescent="0.2">
      <c r="B1387" s="110"/>
      <c r="E1387" s="87"/>
      <c r="K1387" s="110"/>
      <c r="L1387" s="111"/>
    </row>
    <row r="1388" spans="2:12" ht="14.25" customHeight="1" x14ac:dyDescent="0.2">
      <c r="B1388" s="110"/>
      <c r="E1388" s="87"/>
      <c r="K1388" s="110"/>
      <c r="L1388" s="111"/>
    </row>
    <row r="1389" spans="2:12" ht="14.25" customHeight="1" x14ac:dyDescent="0.2">
      <c r="B1389" s="110"/>
      <c r="E1389" s="87"/>
      <c r="K1389" s="110"/>
      <c r="L1389" s="111"/>
    </row>
    <row r="1390" spans="2:12" ht="14.25" customHeight="1" x14ac:dyDescent="0.2">
      <c r="B1390" s="110"/>
      <c r="E1390" s="87"/>
      <c r="K1390" s="110"/>
      <c r="L1390" s="111"/>
    </row>
    <row r="1391" spans="2:12" ht="14.25" customHeight="1" x14ac:dyDescent="0.2">
      <c r="B1391" s="110"/>
      <c r="E1391" s="87"/>
      <c r="K1391" s="110"/>
      <c r="L1391" s="111"/>
    </row>
    <row r="1392" spans="2:12" ht="14.25" customHeight="1" x14ac:dyDescent="0.2">
      <c r="B1392" s="110"/>
      <c r="E1392" s="87"/>
      <c r="K1392" s="110"/>
      <c r="L1392" s="111"/>
    </row>
    <row r="1393" spans="2:12" ht="14.25" customHeight="1" x14ac:dyDescent="0.2">
      <c r="B1393" s="110"/>
      <c r="E1393" s="87"/>
      <c r="K1393" s="110"/>
      <c r="L1393" s="111"/>
    </row>
    <row r="1394" spans="2:12" ht="14.25" customHeight="1" x14ac:dyDescent="0.2">
      <c r="B1394" s="110"/>
      <c r="E1394" s="87"/>
      <c r="K1394" s="110"/>
      <c r="L1394" s="111"/>
    </row>
    <row r="1395" spans="2:12" ht="14.25" customHeight="1" x14ac:dyDescent="0.2">
      <c r="B1395" s="110"/>
      <c r="E1395" s="87"/>
      <c r="K1395" s="110"/>
      <c r="L1395" s="111"/>
    </row>
    <row r="1396" spans="2:12" ht="14.25" customHeight="1" x14ac:dyDescent="0.2">
      <c r="B1396" s="110"/>
      <c r="E1396" s="87"/>
      <c r="K1396" s="110"/>
      <c r="L1396" s="111"/>
    </row>
    <row r="1397" spans="2:12" ht="14.25" customHeight="1" x14ac:dyDescent="0.2">
      <c r="B1397" s="110"/>
      <c r="E1397" s="87"/>
      <c r="K1397" s="110"/>
      <c r="L1397" s="111"/>
    </row>
    <row r="1398" spans="2:12" ht="14.25" customHeight="1" x14ac:dyDescent="0.2">
      <c r="B1398" s="110"/>
      <c r="E1398" s="87"/>
      <c r="K1398" s="110"/>
      <c r="L1398" s="111"/>
    </row>
    <row r="1399" spans="2:12" ht="14.25" customHeight="1" x14ac:dyDescent="0.2">
      <c r="B1399" s="110"/>
      <c r="E1399" s="87"/>
      <c r="K1399" s="110"/>
      <c r="L1399" s="111"/>
    </row>
    <row r="1400" spans="2:12" ht="14.25" customHeight="1" x14ac:dyDescent="0.2">
      <c r="B1400" s="110"/>
      <c r="E1400" s="87"/>
      <c r="K1400" s="110"/>
      <c r="L1400" s="111"/>
    </row>
    <row r="1401" spans="2:12" ht="14.25" customHeight="1" x14ac:dyDescent="0.2">
      <c r="B1401" s="110"/>
      <c r="E1401" s="87"/>
      <c r="K1401" s="110"/>
      <c r="L1401" s="111"/>
    </row>
    <row r="1402" spans="2:12" ht="14.25" customHeight="1" x14ac:dyDescent="0.2">
      <c r="B1402" s="110"/>
      <c r="E1402" s="87"/>
      <c r="K1402" s="110"/>
      <c r="L1402" s="111"/>
    </row>
    <row r="1403" spans="2:12" ht="14.25" customHeight="1" x14ac:dyDescent="0.2">
      <c r="B1403" s="110"/>
      <c r="E1403" s="87"/>
      <c r="K1403" s="110"/>
      <c r="L1403" s="111"/>
    </row>
    <row r="1404" spans="2:12" ht="14.25" customHeight="1" x14ac:dyDescent="0.2">
      <c r="B1404" s="110"/>
      <c r="E1404" s="87"/>
      <c r="K1404" s="110"/>
      <c r="L1404" s="111"/>
    </row>
    <row r="1405" spans="2:12" ht="14.25" customHeight="1" x14ac:dyDescent="0.2">
      <c r="B1405" s="110"/>
      <c r="E1405" s="87"/>
      <c r="K1405" s="110"/>
      <c r="L1405" s="111"/>
    </row>
    <row r="1406" spans="2:12" ht="14.25" customHeight="1" x14ac:dyDescent="0.2">
      <c r="B1406" s="110"/>
      <c r="E1406" s="87"/>
      <c r="K1406" s="110"/>
      <c r="L1406" s="111"/>
    </row>
    <row r="1407" spans="2:12" ht="14.25" customHeight="1" x14ac:dyDescent="0.2">
      <c r="B1407" s="110"/>
      <c r="E1407" s="87"/>
      <c r="K1407" s="110"/>
      <c r="L1407" s="111"/>
    </row>
    <row r="1408" spans="2:12" ht="14.25" customHeight="1" x14ac:dyDescent="0.2">
      <c r="B1408" s="110"/>
      <c r="E1408" s="87"/>
      <c r="K1408" s="110"/>
      <c r="L1408" s="111"/>
    </row>
    <row r="1409" spans="2:12" ht="14.25" customHeight="1" x14ac:dyDescent="0.2">
      <c r="B1409" s="110"/>
      <c r="E1409" s="87"/>
      <c r="K1409" s="110"/>
      <c r="L1409" s="111"/>
    </row>
    <row r="1410" spans="2:12" ht="14.25" customHeight="1" x14ac:dyDescent="0.2">
      <c r="B1410" s="110"/>
      <c r="E1410" s="87"/>
      <c r="K1410" s="110"/>
      <c r="L1410" s="111"/>
    </row>
    <row r="1411" spans="2:12" ht="14.25" customHeight="1" x14ac:dyDescent="0.2">
      <c r="B1411" s="110"/>
      <c r="E1411" s="87"/>
      <c r="K1411" s="110"/>
      <c r="L1411" s="111"/>
    </row>
    <row r="1412" spans="2:12" ht="14.25" customHeight="1" x14ac:dyDescent="0.2">
      <c r="B1412" s="110"/>
      <c r="E1412" s="87"/>
      <c r="K1412" s="110"/>
      <c r="L1412" s="111"/>
    </row>
    <row r="1413" spans="2:12" ht="14.25" customHeight="1" x14ac:dyDescent="0.2">
      <c r="B1413" s="110"/>
      <c r="E1413" s="87"/>
      <c r="K1413" s="110"/>
      <c r="L1413" s="111"/>
    </row>
    <row r="1414" spans="2:12" ht="14.25" customHeight="1" x14ac:dyDescent="0.2">
      <c r="B1414" s="110"/>
      <c r="E1414" s="87"/>
      <c r="K1414" s="110"/>
      <c r="L1414" s="111"/>
    </row>
    <row r="1415" spans="2:12" ht="14.25" customHeight="1" x14ac:dyDescent="0.2">
      <c r="B1415" s="110"/>
      <c r="E1415" s="87"/>
      <c r="K1415" s="110"/>
      <c r="L1415" s="111"/>
    </row>
    <row r="1416" spans="2:12" ht="14.25" customHeight="1" x14ac:dyDescent="0.2">
      <c r="B1416" s="110"/>
      <c r="E1416" s="87"/>
      <c r="K1416" s="110"/>
      <c r="L1416" s="111"/>
    </row>
    <row r="1417" spans="2:12" ht="14.25" customHeight="1" x14ac:dyDescent="0.2">
      <c r="B1417" s="110"/>
      <c r="E1417" s="87"/>
      <c r="K1417" s="110"/>
      <c r="L1417" s="111"/>
    </row>
    <row r="1418" spans="2:12" ht="14.25" customHeight="1" x14ac:dyDescent="0.2">
      <c r="B1418" s="110"/>
      <c r="E1418" s="87"/>
      <c r="K1418" s="110"/>
      <c r="L1418" s="111"/>
    </row>
    <row r="1419" spans="2:12" ht="14.25" customHeight="1" x14ac:dyDescent="0.2">
      <c r="B1419" s="110"/>
      <c r="E1419" s="87"/>
      <c r="K1419" s="110"/>
      <c r="L1419" s="111"/>
    </row>
    <row r="1420" spans="2:12" ht="14.25" customHeight="1" x14ac:dyDescent="0.2">
      <c r="B1420" s="110"/>
      <c r="E1420" s="87"/>
      <c r="K1420" s="110"/>
      <c r="L1420" s="111"/>
    </row>
    <row r="1421" spans="2:12" ht="14.25" customHeight="1" x14ac:dyDescent="0.2">
      <c r="B1421" s="110"/>
      <c r="E1421" s="87"/>
      <c r="K1421" s="110"/>
      <c r="L1421" s="111"/>
    </row>
    <row r="1422" spans="2:12" ht="14.25" customHeight="1" x14ac:dyDescent="0.2">
      <c r="B1422" s="110"/>
      <c r="E1422" s="87"/>
      <c r="K1422" s="110"/>
      <c r="L1422" s="111"/>
    </row>
    <row r="1423" spans="2:12" ht="14.25" customHeight="1" x14ac:dyDescent="0.2">
      <c r="B1423" s="110"/>
      <c r="E1423" s="87"/>
      <c r="K1423" s="110"/>
      <c r="L1423" s="111"/>
    </row>
    <row r="1424" spans="2:12" ht="14.25" customHeight="1" x14ac:dyDescent="0.2">
      <c r="B1424" s="110"/>
      <c r="E1424" s="87"/>
      <c r="K1424" s="110"/>
      <c r="L1424" s="111"/>
    </row>
    <row r="1425" spans="2:12" ht="14.25" customHeight="1" x14ac:dyDescent="0.2">
      <c r="B1425" s="110"/>
      <c r="E1425" s="87"/>
      <c r="K1425" s="110"/>
      <c r="L1425" s="111"/>
    </row>
    <row r="1426" spans="2:12" ht="14.25" customHeight="1" x14ac:dyDescent="0.2">
      <c r="B1426" s="110"/>
      <c r="E1426" s="87"/>
      <c r="K1426" s="110"/>
      <c r="L1426" s="111"/>
    </row>
    <row r="1427" spans="2:12" ht="14.25" customHeight="1" x14ac:dyDescent="0.2">
      <c r="B1427" s="110"/>
      <c r="E1427" s="87"/>
      <c r="K1427" s="110"/>
      <c r="L1427" s="111"/>
    </row>
    <row r="1428" spans="2:12" ht="14.25" customHeight="1" x14ac:dyDescent="0.2">
      <c r="B1428" s="110"/>
      <c r="E1428" s="87"/>
      <c r="K1428" s="110"/>
      <c r="L1428" s="111"/>
    </row>
    <row r="1429" spans="2:12" ht="14.25" customHeight="1" x14ac:dyDescent="0.2">
      <c r="B1429" s="110"/>
      <c r="E1429" s="87"/>
      <c r="K1429" s="110"/>
      <c r="L1429" s="111"/>
    </row>
    <row r="1430" spans="2:12" ht="14.25" customHeight="1" x14ac:dyDescent="0.2">
      <c r="B1430" s="110"/>
      <c r="E1430" s="87"/>
      <c r="K1430" s="110"/>
      <c r="L1430" s="111"/>
    </row>
    <row r="1431" spans="2:12" ht="14.25" customHeight="1" x14ac:dyDescent="0.2">
      <c r="B1431" s="110"/>
      <c r="E1431" s="87"/>
      <c r="K1431" s="110"/>
      <c r="L1431" s="111"/>
    </row>
    <row r="1432" spans="2:12" ht="14.25" customHeight="1" x14ac:dyDescent="0.2">
      <c r="B1432" s="110"/>
      <c r="E1432" s="87"/>
      <c r="K1432" s="110"/>
      <c r="L1432" s="111"/>
    </row>
    <row r="1433" spans="2:12" ht="14.25" customHeight="1" x14ac:dyDescent="0.2">
      <c r="B1433" s="110"/>
      <c r="E1433" s="87"/>
      <c r="K1433" s="110"/>
      <c r="L1433" s="111"/>
    </row>
    <row r="1434" spans="2:12" ht="14.25" customHeight="1" x14ac:dyDescent="0.2">
      <c r="B1434" s="110"/>
      <c r="E1434" s="87"/>
      <c r="K1434" s="110"/>
      <c r="L1434" s="111"/>
    </row>
    <row r="1435" spans="2:12" ht="14.25" customHeight="1" x14ac:dyDescent="0.2">
      <c r="B1435" s="110"/>
      <c r="E1435" s="87"/>
      <c r="K1435" s="110"/>
      <c r="L1435" s="111"/>
    </row>
    <row r="1436" spans="2:12" ht="14.25" customHeight="1" x14ac:dyDescent="0.2">
      <c r="B1436" s="110"/>
      <c r="E1436" s="87"/>
      <c r="K1436" s="110"/>
      <c r="L1436" s="111"/>
    </row>
    <row r="1437" spans="2:12" ht="14.25" customHeight="1" x14ac:dyDescent="0.2">
      <c r="B1437" s="110"/>
      <c r="E1437" s="87"/>
      <c r="K1437" s="110"/>
      <c r="L1437" s="111"/>
    </row>
    <row r="1438" spans="2:12" ht="14.25" customHeight="1" x14ac:dyDescent="0.2">
      <c r="B1438" s="110"/>
      <c r="E1438" s="87"/>
      <c r="K1438" s="110"/>
      <c r="L1438" s="111"/>
    </row>
    <row r="1439" spans="2:12" ht="14.25" customHeight="1" x14ac:dyDescent="0.2">
      <c r="B1439" s="110"/>
      <c r="E1439" s="87"/>
      <c r="K1439" s="110"/>
      <c r="L1439" s="111"/>
    </row>
    <row r="1440" spans="2:12" ht="14.25" customHeight="1" x14ac:dyDescent="0.2">
      <c r="B1440" s="110"/>
      <c r="E1440" s="87"/>
      <c r="K1440" s="110"/>
      <c r="L1440" s="111"/>
    </row>
    <row r="1441" spans="2:12" ht="14.25" customHeight="1" x14ac:dyDescent="0.2">
      <c r="B1441" s="110"/>
      <c r="E1441" s="87"/>
      <c r="K1441" s="110"/>
      <c r="L1441" s="111"/>
    </row>
    <row r="1442" spans="2:12" ht="14.25" customHeight="1" x14ac:dyDescent="0.2">
      <c r="B1442" s="110"/>
      <c r="E1442" s="87"/>
      <c r="K1442" s="110"/>
      <c r="L1442" s="111"/>
    </row>
    <row r="1443" spans="2:12" ht="14.25" customHeight="1" x14ac:dyDescent="0.2">
      <c r="B1443" s="110"/>
      <c r="E1443" s="87"/>
      <c r="K1443" s="110"/>
      <c r="L1443" s="111"/>
    </row>
    <row r="1444" spans="2:12" ht="14.25" customHeight="1" x14ac:dyDescent="0.2">
      <c r="B1444" s="110"/>
      <c r="E1444" s="87"/>
      <c r="K1444" s="110"/>
      <c r="L1444" s="111"/>
    </row>
    <row r="1445" spans="2:12" ht="14.25" customHeight="1" x14ac:dyDescent="0.2">
      <c r="B1445" s="110"/>
      <c r="E1445" s="87"/>
      <c r="K1445" s="110"/>
      <c r="L1445" s="111"/>
    </row>
    <row r="1446" spans="2:12" ht="14.25" customHeight="1" x14ac:dyDescent="0.2">
      <c r="B1446" s="110"/>
      <c r="E1446" s="87"/>
      <c r="K1446" s="110"/>
      <c r="L1446" s="111"/>
    </row>
    <row r="1447" spans="2:12" ht="14.25" customHeight="1" x14ac:dyDescent="0.2">
      <c r="B1447" s="110"/>
      <c r="E1447" s="87"/>
      <c r="K1447" s="110"/>
      <c r="L1447" s="111"/>
    </row>
    <row r="1448" spans="2:12" ht="14.25" customHeight="1" x14ac:dyDescent="0.2">
      <c r="B1448" s="110"/>
      <c r="E1448" s="87"/>
      <c r="K1448" s="110"/>
      <c r="L1448" s="111"/>
    </row>
    <row r="1449" spans="2:12" ht="14.25" customHeight="1" x14ac:dyDescent="0.2">
      <c r="B1449" s="110"/>
      <c r="E1449" s="87"/>
      <c r="K1449" s="110"/>
      <c r="L1449" s="111"/>
    </row>
    <row r="1450" spans="2:12" ht="14.25" customHeight="1" x14ac:dyDescent="0.2">
      <c r="B1450" s="110"/>
      <c r="E1450" s="87"/>
      <c r="K1450" s="110"/>
      <c r="L1450" s="111"/>
    </row>
    <row r="1451" spans="2:12" ht="14.25" customHeight="1" x14ac:dyDescent="0.2">
      <c r="B1451" s="110"/>
      <c r="E1451" s="87"/>
      <c r="K1451" s="110"/>
      <c r="L1451" s="111"/>
    </row>
    <row r="1452" spans="2:12" ht="14.25" customHeight="1" x14ac:dyDescent="0.2">
      <c r="B1452" s="110"/>
      <c r="E1452" s="87"/>
      <c r="K1452" s="110"/>
      <c r="L1452" s="111"/>
    </row>
    <row r="1453" spans="2:12" ht="14.25" customHeight="1" x14ac:dyDescent="0.2">
      <c r="B1453" s="110"/>
      <c r="E1453" s="87"/>
      <c r="K1453" s="110"/>
      <c r="L1453" s="111"/>
    </row>
    <row r="1454" spans="2:12" ht="14.25" customHeight="1" x14ac:dyDescent="0.2">
      <c r="B1454" s="110"/>
      <c r="E1454" s="87"/>
      <c r="K1454" s="110"/>
      <c r="L1454" s="111"/>
    </row>
    <row r="1455" spans="2:12" ht="14.25" customHeight="1" x14ac:dyDescent="0.2">
      <c r="B1455" s="110"/>
      <c r="E1455" s="87"/>
      <c r="K1455" s="110"/>
      <c r="L1455" s="111"/>
    </row>
    <row r="1456" spans="2:12" ht="14.25" customHeight="1" x14ac:dyDescent="0.2">
      <c r="B1456" s="110"/>
      <c r="E1456" s="87"/>
      <c r="K1456" s="110"/>
      <c r="L1456" s="111"/>
    </row>
    <row r="1457" spans="2:12" ht="14.25" customHeight="1" x14ac:dyDescent="0.2">
      <c r="B1457" s="110"/>
      <c r="E1457" s="87"/>
      <c r="K1457" s="110"/>
      <c r="L1457" s="111"/>
    </row>
    <row r="1458" spans="2:12" ht="14.25" customHeight="1" x14ac:dyDescent="0.2">
      <c r="B1458" s="110"/>
      <c r="E1458" s="87"/>
      <c r="K1458" s="110"/>
      <c r="L1458" s="111"/>
    </row>
    <row r="1459" spans="2:12" ht="14.25" customHeight="1" x14ac:dyDescent="0.2">
      <c r="B1459" s="110"/>
      <c r="E1459" s="87"/>
      <c r="K1459" s="110"/>
      <c r="L1459" s="111"/>
    </row>
    <row r="1460" spans="2:12" ht="14.25" customHeight="1" x14ac:dyDescent="0.2">
      <c r="B1460" s="110"/>
      <c r="E1460" s="87"/>
      <c r="K1460" s="110"/>
      <c r="L1460" s="111"/>
    </row>
    <row r="1461" spans="2:12" ht="14.25" customHeight="1" x14ac:dyDescent="0.2">
      <c r="B1461" s="110"/>
      <c r="E1461" s="87"/>
      <c r="K1461" s="110"/>
      <c r="L1461" s="111"/>
    </row>
    <row r="1462" spans="2:12" ht="14.25" customHeight="1" x14ac:dyDescent="0.2">
      <c r="B1462" s="110"/>
      <c r="E1462" s="87"/>
      <c r="K1462" s="110"/>
      <c r="L1462" s="111"/>
    </row>
    <row r="1463" spans="2:12" ht="14.25" customHeight="1" x14ac:dyDescent="0.2">
      <c r="B1463" s="110"/>
      <c r="E1463" s="87"/>
      <c r="K1463" s="110"/>
      <c r="L1463" s="111"/>
    </row>
    <row r="1464" spans="2:12" ht="14.25" customHeight="1" x14ac:dyDescent="0.2">
      <c r="B1464" s="110"/>
      <c r="E1464" s="87"/>
      <c r="K1464" s="110"/>
      <c r="L1464" s="111"/>
    </row>
    <row r="1465" spans="2:12" ht="14.25" customHeight="1" x14ac:dyDescent="0.2">
      <c r="B1465" s="110"/>
      <c r="E1465" s="87"/>
      <c r="K1465" s="110"/>
      <c r="L1465" s="111"/>
    </row>
    <row r="1466" spans="2:12" ht="14.25" customHeight="1" x14ac:dyDescent="0.2">
      <c r="B1466" s="110"/>
      <c r="E1466" s="87"/>
      <c r="K1466" s="110"/>
      <c r="L1466" s="111"/>
    </row>
    <row r="1467" spans="2:12" ht="14.25" customHeight="1" x14ac:dyDescent="0.2">
      <c r="B1467" s="110"/>
      <c r="E1467" s="87"/>
      <c r="K1467" s="110"/>
      <c r="L1467" s="111"/>
    </row>
    <row r="1468" spans="2:12" ht="14.25" customHeight="1" x14ac:dyDescent="0.2">
      <c r="B1468" s="110"/>
      <c r="E1468" s="87"/>
      <c r="K1468" s="110"/>
      <c r="L1468" s="111"/>
    </row>
    <row r="1469" spans="2:12" ht="14.25" customHeight="1" x14ac:dyDescent="0.2">
      <c r="B1469" s="110"/>
      <c r="E1469" s="87"/>
      <c r="K1469" s="110"/>
      <c r="L1469" s="111"/>
    </row>
    <row r="1470" spans="2:12" ht="14.25" customHeight="1" x14ac:dyDescent="0.2">
      <c r="B1470" s="110"/>
      <c r="E1470" s="87"/>
      <c r="K1470" s="110"/>
      <c r="L1470" s="111"/>
    </row>
    <row r="1471" spans="2:12" ht="14.25" customHeight="1" x14ac:dyDescent="0.2">
      <c r="B1471" s="110"/>
      <c r="E1471" s="87"/>
      <c r="K1471" s="110"/>
      <c r="L1471" s="111"/>
    </row>
    <row r="1472" spans="2:12" ht="14.25" customHeight="1" x14ac:dyDescent="0.2">
      <c r="B1472" s="110"/>
      <c r="E1472" s="87"/>
      <c r="K1472" s="110"/>
      <c r="L1472" s="111"/>
    </row>
    <row r="1473" spans="2:12" ht="14.25" customHeight="1" x14ac:dyDescent="0.2">
      <c r="B1473" s="110"/>
      <c r="E1473" s="87"/>
      <c r="K1473" s="110"/>
      <c r="L1473" s="111"/>
    </row>
    <row r="1474" spans="2:12" ht="14.25" customHeight="1" x14ac:dyDescent="0.2">
      <c r="B1474" s="110"/>
      <c r="E1474" s="87"/>
      <c r="K1474" s="110"/>
      <c r="L1474" s="111"/>
    </row>
    <row r="1475" spans="2:12" ht="14.25" customHeight="1" x14ac:dyDescent="0.2">
      <c r="B1475" s="110"/>
      <c r="E1475" s="87"/>
      <c r="K1475" s="110"/>
      <c r="L1475" s="111"/>
    </row>
    <row r="1476" spans="2:12" ht="14.25" customHeight="1" x14ac:dyDescent="0.2">
      <c r="B1476" s="110"/>
      <c r="E1476" s="87"/>
      <c r="K1476" s="110"/>
      <c r="L1476" s="111"/>
    </row>
    <row r="1477" spans="2:12" ht="14.25" customHeight="1" x14ac:dyDescent="0.2">
      <c r="B1477" s="110"/>
      <c r="E1477" s="87"/>
      <c r="K1477" s="110"/>
      <c r="L1477" s="111"/>
    </row>
    <row r="1478" spans="2:12" ht="14.25" customHeight="1" x14ac:dyDescent="0.2">
      <c r="B1478" s="110"/>
      <c r="E1478" s="87"/>
      <c r="K1478" s="110"/>
      <c r="L1478" s="111"/>
    </row>
    <row r="1479" spans="2:12" ht="14.25" customHeight="1" x14ac:dyDescent="0.2">
      <c r="B1479" s="110"/>
      <c r="E1479" s="87"/>
      <c r="K1479" s="110"/>
      <c r="L1479" s="111"/>
    </row>
    <row r="1480" spans="2:12" ht="14.25" customHeight="1" x14ac:dyDescent="0.2">
      <c r="B1480" s="110"/>
      <c r="E1480" s="87"/>
      <c r="K1480" s="110"/>
      <c r="L1480" s="111"/>
    </row>
    <row r="1481" spans="2:12" ht="14.25" customHeight="1" x14ac:dyDescent="0.2">
      <c r="B1481" s="110"/>
      <c r="E1481" s="87"/>
      <c r="K1481" s="110"/>
      <c r="L1481" s="111"/>
    </row>
    <row r="1482" spans="2:12" ht="14.25" customHeight="1" x14ac:dyDescent="0.2">
      <c r="B1482" s="110"/>
      <c r="E1482" s="87"/>
      <c r="K1482" s="110"/>
      <c r="L1482" s="111"/>
    </row>
    <row r="1483" spans="2:12" ht="14.25" customHeight="1" x14ac:dyDescent="0.2">
      <c r="B1483" s="110"/>
      <c r="E1483" s="87"/>
      <c r="K1483" s="110"/>
      <c r="L1483" s="111"/>
    </row>
    <row r="1484" spans="2:12" ht="14.25" customHeight="1" x14ac:dyDescent="0.2">
      <c r="B1484" s="110"/>
      <c r="E1484" s="87"/>
      <c r="K1484" s="110"/>
      <c r="L1484" s="111"/>
    </row>
    <row r="1485" spans="2:12" ht="14.25" customHeight="1" x14ac:dyDescent="0.2">
      <c r="B1485" s="110"/>
      <c r="E1485" s="87"/>
      <c r="K1485" s="110"/>
      <c r="L1485" s="111"/>
    </row>
    <row r="1486" spans="2:12" ht="14.25" customHeight="1" x14ac:dyDescent="0.2">
      <c r="B1486" s="110"/>
      <c r="E1486" s="87"/>
      <c r="K1486" s="110"/>
      <c r="L1486" s="111"/>
    </row>
    <row r="1487" spans="2:12" ht="14.25" customHeight="1" x14ac:dyDescent="0.2">
      <c r="B1487" s="110"/>
      <c r="E1487" s="87"/>
      <c r="K1487" s="110"/>
      <c r="L1487" s="111"/>
    </row>
    <row r="1488" spans="2:12" ht="14.25" customHeight="1" x14ac:dyDescent="0.2">
      <c r="B1488" s="110"/>
      <c r="E1488" s="87"/>
      <c r="K1488" s="110"/>
      <c r="L1488" s="111"/>
    </row>
    <row r="1489" spans="2:12" ht="14.25" customHeight="1" x14ac:dyDescent="0.2">
      <c r="B1489" s="110"/>
      <c r="E1489" s="87"/>
      <c r="K1489" s="110"/>
      <c r="L1489" s="111"/>
    </row>
    <row r="1490" spans="2:12" ht="14.25" customHeight="1" x14ac:dyDescent="0.2">
      <c r="B1490" s="110"/>
      <c r="E1490" s="87"/>
      <c r="K1490" s="110"/>
      <c r="L1490" s="111"/>
    </row>
    <row r="1491" spans="2:12" ht="14.25" customHeight="1" x14ac:dyDescent="0.2">
      <c r="B1491" s="110"/>
      <c r="E1491" s="87"/>
      <c r="K1491" s="110"/>
      <c r="L1491" s="111"/>
    </row>
    <row r="1492" spans="2:12" ht="14.25" customHeight="1" x14ac:dyDescent="0.2">
      <c r="B1492" s="110"/>
      <c r="E1492" s="87"/>
      <c r="K1492" s="110"/>
      <c r="L1492" s="111"/>
    </row>
    <row r="1493" spans="2:12" ht="14.25" customHeight="1" x14ac:dyDescent="0.2">
      <c r="B1493" s="110"/>
      <c r="E1493" s="87"/>
      <c r="K1493" s="110"/>
      <c r="L1493" s="111"/>
    </row>
    <row r="1494" spans="2:12" ht="14.25" customHeight="1" x14ac:dyDescent="0.2">
      <c r="B1494" s="110"/>
      <c r="E1494" s="87"/>
      <c r="K1494" s="110"/>
      <c r="L1494" s="111"/>
    </row>
    <row r="1495" spans="2:12" ht="14.25" customHeight="1" x14ac:dyDescent="0.2">
      <c r="B1495" s="110"/>
      <c r="E1495" s="87"/>
      <c r="K1495" s="110"/>
      <c r="L1495" s="111"/>
    </row>
    <row r="1496" spans="2:12" ht="14.25" customHeight="1" x14ac:dyDescent="0.2">
      <c r="B1496" s="110"/>
      <c r="E1496" s="87"/>
      <c r="K1496" s="110"/>
      <c r="L1496" s="111"/>
    </row>
    <row r="1497" spans="2:12" ht="14.25" customHeight="1" x14ac:dyDescent="0.2">
      <c r="B1497" s="110"/>
      <c r="E1497" s="87"/>
      <c r="K1497" s="110"/>
      <c r="L1497" s="111"/>
    </row>
    <row r="1498" spans="2:12" ht="14.25" customHeight="1" x14ac:dyDescent="0.2">
      <c r="B1498" s="110"/>
      <c r="E1498" s="87"/>
      <c r="K1498" s="110"/>
      <c r="L1498" s="111"/>
    </row>
    <row r="1499" spans="2:12" ht="14.25" customHeight="1" x14ac:dyDescent="0.2">
      <c r="B1499" s="110"/>
      <c r="E1499" s="87"/>
      <c r="K1499" s="110"/>
      <c r="L1499" s="111"/>
    </row>
    <row r="1500" spans="2:12" ht="14.25" customHeight="1" x14ac:dyDescent="0.2">
      <c r="B1500" s="110"/>
      <c r="E1500" s="87"/>
      <c r="K1500" s="110"/>
      <c r="L1500" s="111"/>
    </row>
    <row r="1501" spans="2:12" ht="14.25" customHeight="1" x14ac:dyDescent="0.2">
      <c r="B1501" s="110"/>
      <c r="E1501" s="87"/>
      <c r="K1501" s="110"/>
      <c r="L1501" s="111"/>
    </row>
    <row r="1502" spans="2:12" ht="14.25" customHeight="1" x14ac:dyDescent="0.2">
      <c r="B1502" s="110"/>
      <c r="E1502" s="87"/>
      <c r="K1502" s="110"/>
      <c r="L1502" s="111"/>
    </row>
    <row r="1503" spans="2:12" ht="14.25" customHeight="1" x14ac:dyDescent="0.2">
      <c r="B1503" s="110"/>
      <c r="E1503" s="87"/>
      <c r="K1503" s="110"/>
      <c r="L1503" s="111"/>
    </row>
    <row r="1504" spans="2:12" ht="14.25" customHeight="1" x14ac:dyDescent="0.2">
      <c r="B1504" s="110"/>
      <c r="E1504" s="87"/>
      <c r="K1504" s="110"/>
      <c r="L1504" s="111"/>
    </row>
    <row r="1505" spans="2:12" ht="14.25" customHeight="1" x14ac:dyDescent="0.2">
      <c r="B1505" s="110"/>
      <c r="E1505" s="87"/>
      <c r="K1505" s="110"/>
      <c r="L1505" s="111"/>
    </row>
    <row r="1506" spans="2:12" ht="14.25" customHeight="1" x14ac:dyDescent="0.2">
      <c r="B1506" s="110"/>
      <c r="E1506" s="87"/>
      <c r="K1506" s="110"/>
      <c r="L1506" s="111"/>
    </row>
    <row r="1507" spans="2:12" ht="14.25" customHeight="1" x14ac:dyDescent="0.2">
      <c r="B1507" s="110"/>
      <c r="E1507" s="87"/>
      <c r="K1507" s="110"/>
      <c r="L1507" s="111"/>
    </row>
    <row r="1508" spans="2:12" ht="14.25" customHeight="1" x14ac:dyDescent="0.2">
      <c r="B1508" s="110"/>
      <c r="E1508" s="87"/>
      <c r="K1508" s="110"/>
      <c r="L1508" s="111"/>
    </row>
    <row r="1509" spans="2:12" ht="14.25" customHeight="1" x14ac:dyDescent="0.2">
      <c r="B1509" s="110"/>
      <c r="E1509" s="87"/>
      <c r="K1509" s="110"/>
      <c r="L1509" s="111"/>
    </row>
    <row r="1510" spans="2:12" ht="14.25" customHeight="1" x14ac:dyDescent="0.2">
      <c r="B1510" s="110"/>
      <c r="E1510" s="87"/>
      <c r="K1510" s="110"/>
      <c r="L1510" s="111"/>
    </row>
    <row r="1511" spans="2:12" ht="14.25" customHeight="1" x14ac:dyDescent="0.2">
      <c r="B1511" s="110"/>
      <c r="E1511" s="87"/>
      <c r="K1511" s="110"/>
      <c r="L1511" s="111"/>
    </row>
    <row r="1512" spans="2:12" ht="14.25" customHeight="1" x14ac:dyDescent="0.2">
      <c r="B1512" s="110"/>
      <c r="E1512" s="87"/>
      <c r="K1512" s="110"/>
      <c r="L1512" s="111"/>
    </row>
    <row r="1513" spans="2:12" ht="14.25" customHeight="1" x14ac:dyDescent="0.2">
      <c r="B1513" s="110"/>
      <c r="E1513" s="87"/>
      <c r="K1513" s="110"/>
      <c r="L1513" s="111"/>
    </row>
    <row r="1514" spans="2:12" ht="14.25" customHeight="1" x14ac:dyDescent="0.2">
      <c r="B1514" s="110"/>
      <c r="E1514" s="87"/>
      <c r="K1514" s="110"/>
      <c r="L1514" s="111"/>
    </row>
    <row r="1515" spans="2:12" ht="14.25" customHeight="1" x14ac:dyDescent="0.2">
      <c r="B1515" s="110"/>
      <c r="E1515" s="87"/>
      <c r="K1515" s="110"/>
      <c r="L1515" s="111"/>
    </row>
    <row r="1516" spans="2:12" ht="14.25" customHeight="1" x14ac:dyDescent="0.2">
      <c r="B1516" s="110"/>
      <c r="E1516" s="87"/>
      <c r="K1516" s="110"/>
      <c r="L1516" s="111"/>
    </row>
    <row r="1517" spans="2:12" ht="14.25" customHeight="1" x14ac:dyDescent="0.2">
      <c r="B1517" s="110"/>
      <c r="E1517" s="87"/>
      <c r="K1517" s="110"/>
      <c r="L1517" s="111"/>
    </row>
    <row r="1518" spans="2:12" ht="14.25" customHeight="1" x14ac:dyDescent="0.2">
      <c r="B1518" s="110"/>
      <c r="E1518" s="87"/>
      <c r="K1518" s="110"/>
      <c r="L1518" s="111"/>
    </row>
    <row r="1519" spans="2:12" ht="14.25" customHeight="1" x14ac:dyDescent="0.2">
      <c r="B1519" s="110"/>
      <c r="E1519" s="87"/>
      <c r="K1519" s="110"/>
      <c r="L1519" s="111"/>
    </row>
    <row r="1520" spans="2:12" ht="14.25" customHeight="1" x14ac:dyDescent="0.2">
      <c r="B1520" s="110"/>
      <c r="E1520" s="87"/>
      <c r="K1520" s="110"/>
      <c r="L1520" s="111"/>
    </row>
    <row r="1521" spans="2:12" ht="14.25" customHeight="1" x14ac:dyDescent="0.2">
      <c r="B1521" s="110"/>
      <c r="E1521" s="87"/>
      <c r="K1521" s="110"/>
      <c r="L1521" s="111"/>
    </row>
    <row r="1522" spans="2:12" ht="14.25" customHeight="1" x14ac:dyDescent="0.2">
      <c r="B1522" s="110"/>
      <c r="E1522" s="87"/>
      <c r="K1522" s="110"/>
      <c r="L1522" s="111"/>
    </row>
    <row r="1523" spans="2:12" ht="14.25" customHeight="1" x14ac:dyDescent="0.2">
      <c r="B1523" s="110"/>
      <c r="E1523" s="87"/>
      <c r="K1523" s="110"/>
      <c r="L1523" s="111"/>
    </row>
    <row r="1524" spans="2:12" ht="14.25" customHeight="1" x14ac:dyDescent="0.2">
      <c r="B1524" s="110"/>
      <c r="E1524" s="87"/>
      <c r="K1524" s="110"/>
      <c r="L1524" s="111"/>
    </row>
    <row r="1525" spans="2:12" ht="14.25" customHeight="1" x14ac:dyDescent="0.2">
      <c r="B1525" s="110"/>
      <c r="E1525" s="87"/>
      <c r="K1525" s="110"/>
      <c r="L1525" s="111"/>
    </row>
    <row r="1526" spans="2:12" ht="14.25" customHeight="1" x14ac:dyDescent="0.2">
      <c r="B1526" s="110"/>
      <c r="E1526" s="87"/>
      <c r="K1526" s="110"/>
      <c r="L1526" s="111"/>
    </row>
    <row r="1527" spans="2:12" ht="14.25" customHeight="1" x14ac:dyDescent="0.2">
      <c r="B1527" s="110"/>
      <c r="E1527" s="87"/>
      <c r="K1527" s="110"/>
      <c r="L1527" s="111"/>
    </row>
    <row r="1528" spans="2:12" ht="14.25" customHeight="1" x14ac:dyDescent="0.2">
      <c r="B1528" s="110"/>
      <c r="E1528" s="87"/>
      <c r="K1528" s="110"/>
      <c r="L1528" s="111"/>
    </row>
    <row r="1529" spans="2:12" ht="14.25" customHeight="1" x14ac:dyDescent="0.2">
      <c r="B1529" s="110"/>
      <c r="E1529" s="87"/>
      <c r="K1529" s="110"/>
      <c r="L1529" s="111"/>
    </row>
    <row r="1530" spans="2:12" ht="14.25" customHeight="1" x14ac:dyDescent="0.2">
      <c r="B1530" s="110"/>
      <c r="E1530" s="87"/>
      <c r="K1530" s="110"/>
      <c r="L1530" s="111"/>
    </row>
    <row r="1531" spans="2:12" ht="14.25" customHeight="1" x14ac:dyDescent="0.2">
      <c r="B1531" s="110"/>
      <c r="E1531" s="87"/>
      <c r="K1531" s="110"/>
      <c r="L1531" s="111"/>
    </row>
    <row r="1532" spans="2:12" ht="14.25" customHeight="1" x14ac:dyDescent="0.2">
      <c r="B1532" s="110"/>
      <c r="E1532" s="87"/>
      <c r="K1532" s="110"/>
      <c r="L1532" s="111"/>
    </row>
    <row r="1533" spans="2:12" ht="14.25" customHeight="1" x14ac:dyDescent="0.2">
      <c r="B1533" s="110"/>
      <c r="E1533" s="87"/>
      <c r="K1533" s="110"/>
      <c r="L1533" s="111"/>
    </row>
    <row r="1534" spans="2:12" ht="14.25" customHeight="1" x14ac:dyDescent="0.2">
      <c r="B1534" s="110"/>
      <c r="E1534" s="87"/>
      <c r="K1534" s="110"/>
      <c r="L1534" s="111"/>
    </row>
    <row r="1535" spans="2:12" ht="14.25" customHeight="1" x14ac:dyDescent="0.2">
      <c r="B1535" s="110"/>
      <c r="E1535" s="87"/>
      <c r="K1535" s="110"/>
      <c r="L1535" s="111"/>
    </row>
    <row r="1536" spans="2:12" ht="14.25" customHeight="1" x14ac:dyDescent="0.2">
      <c r="B1536" s="110"/>
      <c r="E1536" s="87"/>
      <c r="K1536" s="110"/>
      <c r="L1536" s="111"/>
    </row>
    <row r="1537" spans="1:37" ht="14.25" customHeight="1" x14ac:dyDescent="0.2">
      <c r="B1537" s="110"/>
      <c r="E1537" s="87"/>
      <c r="K1537" s="110"/>
      <c r="L1537" s="111"/>
    </row>
    <row r="1538" spans="1:37" ht="14.25" customHeight="1" x14ac:dyDescent="0.2">
      <c r="B1538" s="110"/>
      <c r="E1538" s="87"/>
      <c r="K1538" s="110"/>
      <c r="L1538" s="111"/>
    </row>
    <row r="1539" spans="1:37" ht="14.25" customHeight="1" x14ac:dyDescent="0.2">
      <c r="B1539" s="110"/>
      <c r="E1539" s="87"/>
      <c r="K1539" s="110"/>
      <c r="L1539" s="111"/>
    </row>
    <row r="1540" spans="1:37" ht="14.25" customHeight="1" x14ac:dyDescent="0.2">
      <c r="B1540" s="110"/>
      <c r="E1540" s="87"/>
      <c r="K1540" s="110"/>
      <c r="L1540" s="111"/>
    </row>
    <row r="1541" spans="1:37" ht="14.25" customHeight="1" x14ac:dyDescent="0.2">
      <c r="B1541" s="110"/>
      <c r="E1541" s="87"/>
      <c r="K1541" s="110"/>
      <c r="L1541" s="111"/>
    </row>
    <row r="1542" spans="1:37" ht="14.25" customHeight="1" x14ac:dyDescent="0.2">
      <c r="B1542" s="110"/>
      <c r="E1542" s="87"/>
      <c r="K1542" s="110"/>
      <c r="L1542" s="111"/>
    </row>
    <row r="1543" spans="1:37" ht="14.25" customHeight="1" x14ac:dyDescent="0.2">
      <c r="B1543" s="110"/>
      <c r="E1543" s="87"/>
      <c r="K1543" s="110"/>
      <c r="L1543" s="111"/>
    </row>
    <row r="1544" spans="1:37" ht="14.25" customHeight="1" x14ac:dyDescent="0.2">
      <c r="E1544" s="87"/>
      <c r="K1544" s="110"/>
      <c r="L1544" s="111"/>
    </row>
    <row r="1545" spans="1:37" ht="14.25" customHeight="1" x14ac:dyDescent="0.2">
      <c r="E1545" s="87"/>
      <c r="K1545" s="110"/>
      <c r="L1545" s="111"/>
    </row>
    <row r="1546" spans="1:37" ht="14.25" customHeight="1" x14ac:dyDescent="0.2">
      <c r="E1546" s="87"/>
      <c r="K1546" s="110"/>
      <c r="L1546" s="111"/>
      <c r="AI1546" s="112"/>
    </row>
    <row r="1547" spans="1:37" ht="14.25" customHeight="1" x14ac:dyDescent="0.2">
      <c r="E1547" s="87"/>
      <c r="K1547" s="110"/>
      <c r="L1547" s="111"/>
    </row>
    <row r="1548" spans="1:37" ht="14.25" customHeight="1" x14ac:dyDescent="0.2">
      <c r="A1548" s="112"/>
      <c r="B1548" s="112"/>
      <c r="E1548" s="87"/>
      <c r="K1548" s="110"/>
      <c r="L1548" s="111"/>
      <c r="R1548" s="112"/>
      <c r="S1548" s="112"/>
      <c r="T1548" s="112"/>
      <c r="U1548" s="112"/>
      <c r="V1548" s="112"/>
      <c r="W1548" s="112"/>
      <c r="X1548" s="112"/>
      <c r="Y1548" s="112"/>
      <c r="Z1548" s="112"/>
      <c r="AA1548" s="112"/>
      <c r="AB1548" s="112"/>
      <c r="AC1548" s="112"/>
      <c r="AD1548" s="112"/>
      <c r="AE1548" s="112"/>
      <c r="AF1548" s="112"/>
      <c r="AG1548" s="112"/>
      <c r="AH1548" s="112"/>
      <c r="AI1548" s="112"/>
      <c r="AJ1548" s="112"/>
      <c r="AK1548" s="112"/>
    </row>
    <row r="1549" spans="1:37" ht="14.25" customHeight="1" x14ac:dyDescent="0.2">
      <c r="E1549" s="87"/>
      <c r="K1549" s="110"/>
      <c r="L1549" s="111"/>
    </row>
    <row r="1550" spans="1:37" ht="14.25" customHeight="1" x14ac:dyDescent="0.2">
      <c r="E1550" s="87"/>
      <c r="K1550" s="110"/>
      <c r="L1550" s="111"/>
    </row>
    <row r="1551" spans="1:37" ht="14.25" customHeight="1" x14ac:dyDescent="0.2">
      <c r="E1551" s="87"/>
      <c r="K1551" s="110"/>
      <c r="L1551" s="111"/>
    </row>
    <row r="1552" spans="1:37" ht="14.25" customHeight="1" x14ac:dyDescent="0.2">
      <c r="E1552" s="87"/>
      <c r="K1552" s="110"/>
      <c r="L1552" s="111"/>
    </row>
    <row r="1553" spans="2:12" ht="14.25" customHeight="1" x14ac:dyDescent="0.2">
      <c r="E1553" s="87"/>
      <c r="K1553" s="110"/>
      <c r="L1553" s="111"/>
    </row>
    <row r="1554" spans="2:12" ht="14.25" customHeight="1" x14ac:dyDescent="0.2">
      <c r="E1554" s="87"/>
      <c r="K1554" s="110"/>
      <c r="L1554" s="111"/>
    </row>
    <row r="1555" spans="2:12" ht="14.25" customHeight="1" x14ac:dyDescent="0.2">
      <c r="E1555" s="87"/>
      <c r="K1555" s="110"/>
      <c r="L1555" s="111"/>
    </row>
    <row r="1556" spans="2:12" ht="14.25" customHeight="1" x14ac:dyDescent="0.2">
      <c r="E1556" s="87"/>
      <c r="K1556" s="110"/>
      <c r="L1556" s="111"/>
    </row>
    <row r="1557" spans="2:12" ht="14.25" customHeight="1" x14ac:dyDescent="0.2">
      <c r="E1557" s="87"/>
      <c r="K1557" s="110"/>
      <c r="L1557" s="111"/>
    </row>
    <row r="1558" spans="2:12" ht="14.25" customHeight="1" x14ac:dyDescent="0.2">
      <c r="E1558" s="87"/>
      <c r="K1558" s="110"/>
      <c r="L1558" s="111"/>
    </row>
    <row r="1559" spans="2:12" ht="14.25" customHeight="1" x14ac:dyDescent="0.2">
      <c r="E1559" s="87"/>
      <c r="K1559" s="110"/>
      <c r="L1559" s="111"/>
    </row>
    <row r="1560" spans="2:12" ht="14.25" customHeight="1" x14ac:dyDescent="0.2">
      <c r="B1560" s="110"/>
      <c r="E1560" s="87"/>
      <c r="K1560" s="110"/>
      <c r="L1560" s="111"/>
    </row>
    <row r="1561" spans="2:12" ht="14.25" customHeight="1" x14ac:dyDescent="0.2">
      <c r="B1561" s="110"/>
      <c r="E1561" s="87"/>
      <c r="K1561" s="110"/>
      <c r="L1561" s="111"/>
    </row>
    <row r="1562" spans="2:12" ht="14.25" customHeight="1" x14ac:dyDescent="0.2">
      <c r="B1562" s="110"/>
      <c r="E1562" s="87"/>
      <c r="K1562" s="110"/>
      <c r="L1562" s="111"/>
    </row>
    <row r="1563" spans="2:12" ht="14.25" customHeight="1" x14ac:dyDescent="0.2">
      <c r="B1563" s="110"/>
      <c r="E1563" s="87"/>
      <c r="K1563" s="110"/>
      <c r="L1563" s="111"/>
    </row>
    <row r="1564" spans="2:12" ht="14.25" customHeight="1" x14ac:dyDescent="0.2">
      <c r="B1564" s="110"/>
      <c r="E1564" s="87"/>
      <c r="K1564" s="110"/>
      <c r="L1564" s="111"/>
    </row>
    <row r="1565" spans="2:12" ht="14.25" customHeight="1" x14ac:dyDescent="0.2">
      <c r="B1565" s="110"/>
      <c r="E1565" s="87"/>
      <c r="K1565" s="110"/>
      <c r="L1565" s="111"/>
    </row>
    <row r="1566" spans="2:12" ht="14.25" customHeight="1" x14ac:dyDescent="0.2">
      <c r="B1566" s="110"/>
      <c r="E1566" s="87"/>
      <c r="K1566" s="110"/>
      <c r="L1566" s="111"/>
    </row>
    <row r="1567" spans="2:12" ht="14.25" customHeight="1" x14ac:dyDescent="0.2">
      <c r="B1567" s="110"/>
      <c r="E1567" s="87"/>
      <c r="K1567" s="110"/>
      <c r="L1567" s="111"/>
    </row>
    <row r="1568" spans="2:12" ht="14.25" customHeight="1" x14ac:dyDescent="0.2">
      <c r="B1568" s="110"/>
      <c r="E1568" s="87"/>
      <c r="K1568" s="110"/>
      <c r="L1568" s="111"/>
    </row>
    <row r="1569" spans="2:12" ht="14.25" customHeight="1" x14ac:dyDescent="0.2">
      <c r="B1569" s="110"/>
      <c r="E1569" s="87"/>
      <c r="K1569" s="110"/>
      <c r="L1569" s="111"/>
    </row>
    <row r="1570" spans="2:12" ht="14.25" customHeight="1" x14ac:dyDescent="0.2">
      <c r="B1570" s="110"/>
      <c r="E1570" s="87"/>
      <c r="K1570" s="110"/>
      <c r="L1570" s="111"/>
    </row>
    <row r="1571" spans="2:12" ht="14.25" customHeight="1" x14ac:dyDescent="0.2">
      <c r="B1571" s="110"/>
      <c r="E1571" s="87"/>
      <c r="K1571" s="110"/>
      <c r="L1571" s="111"/>
    </row>
    <row r="1572" spans="2:12" ht="14.25" customHeight="1" x14ac:dyDescent="0.2">
      <c r="B1572" s="110"/>
      <c r="E1572" s="87"/>
      <c r="K1572" s="110"/>
      <c r="L1572" s="111"/>
    </row>
    <row r="1573" spans="2:12" ht="14.25" customHeight="1" x14ac:dyDescent="0.2">
      <c r="B1573" s="110"/>
      <c r="E1573" s="87"/>
      <c r="K1573" s="110"/>
      <c r="L1573" s="111"/>
    </row>
    <row r="1574" spans="2:12" ht="14.25" customHeight="1" x14ac:dyDescent="0.2">
      <c r="B1574" s="110"/>
      <c r="E1574" s="87"/>
      <c r="K1574" s="110"/>
      <c r="L1574" s="111"/>
    </row>
    <row r="1575" spans="2:12" ht="14.25" customHeight="1" x14ac:dyDescent="0.2">
      <c r="B1575" s="110"/>
      <c r="E1575" s="87"/>
      <c r="K1575" s="110"/>
      <c r="L1575" s="111"/>
    </row>
    <row r="1576" spans="2:12" ht="14.25" customHeight="1" x14ac:dyDescent="0.2">
      <c r="B1576" s="110"/>
      <c r="E1576" s="87"/>
      <c r="K1576" s="110"/>
      <c r="L1576" s="111"/>
    </row>
    <row r="1577" spans="2:12" ht="14.25" customHeight="1" x14ac:dyDescent="0.2">
      <c r="B1577" s="110"/>
      <c r="E1577" s="87"/>
      <c r="K1577" s="110"/>
      <c r="L1577" s="111"/>
    </row>
    <row r="1578" spans="2:12" ht="14.25" customHeight="1" x14ac:dyDescent="0.2">
      <c r="B1578" s="110"/>
      <c r="E1578" s="87"/>
      <c r="K1578" s="110"/>
      <c r="L1578" s="111"/>
    </row>
    <row r="1579" spans="2:12" ht="14.25" customHeight="1" x14ac:dyDescent="0.2">
      <c r="B1579" s="110"/>
      <c r="E1579" s="87"/>
      <c r="K1579" s="110"/>
      <c r="L1579" s="111"/>
    </row>
    <row r="1580" spans="2:12" ht="14.25" customHeight="1" x14ac:dyDescent="0.2">
      <c r="B1580" s="110"/>
      <c r="E1580" s="87"/>
      <c r="K1580" s="110"/>
      <c r="L1580" s="111"/>
    </row>
    <row r="1581" spans="2:12" ht="14.25" customHeight="1" x14ac:dyDescent="0.2">
      <c r="B1581" s="110"/>
      <c r="E1581" s="87"/>
      <c r="K1581" s="110"/>
      <c r="L1581" s="111"/>
    </row>
    <row r="1582" spans="2:12" ht="14.25" customHeight="1" x14ac:dyDescent="0.2">
      <c r="B1582" s="110"/>
      <c r="E1582" s="87"/>
      <c r="K1582" s="110"/>
      <c r="L1582" s="111"/>
    </row>
    <row r="1583" spans="2:12" ht="14.25" customHeight="1" x14ac:dyDescent="0.2">
      <c r="B1583" s="110"/>
      <c r="E1583" s="87"/>
      <c r="K1583" s="110"/>
      <c r="L1583" s="111"/>
    </row>
    <row r="1584" spans="2:12" ht="14.25" customHeight="1" x14ac:dyDescent="0.2">
      <c r="B1584" s="110"/>
      <c r="E1584" s="87"/>
      <c r="K1584" s="110"/>
      <c r="L1584" s="111"/>
    </row>
    <row r="1585" spans="2:12" ht="14.25" customHeight="1" x14ac:dyDescent="0.2">
      <c r="B1585" s="110"/>
      <c r="E1585" s="87"/>
      <c r="K1585" s="110"/>
      <c r="L1585" s="111"/>
    </row>
    <row r="1586" spans="2:12" ht="14.25" customHeight="1" x14ac:dyDescent="0.2">
      <c r="B1586" s="110"/>
      <c r="E1586" s="87"/>
      <c r="K1586" s="110"/>
      <c r="L1586" s="111"/>
    </row>
    <row r="1587" spans="2:12" ht="14.25" customHeight="1" x14ac:dyDescent="0.2">
      <c r="B1587" s="110"/>
      <c r="E1587" s="87"/>
      <c r="K1587" s="110"/>
      <c r="L1587" s="111"/>
    </row>
    <row r="1588" spans="2:12" ht="14.25" customHeight="1" x14ac:dyDescent="0.2">
      <c r="B1588" s="110"/>
      <c r="E1588" s="87"/>
      <c r="K1588" s="110"/>
      <c r="L1588" s="111"/>
    </row>
    <row r="1589" spans="2:12" ht="14.25" customHeight="1" x14ac:dyDescent="0.2">
      <c r="B1589" s="110"/>
      <c r="E1589" s="87"/>
      <c r="K1589" s="110"/>
      <c r="L1589" s="111"/>
    </row>
    <row r="1590" spans="2:12" ht="14.25" customHeight="1" x14ac:dyDescent="0.2">
      <c r="B1590" s="110"/>
      <c r="E1590" s="87"/>
      <c r="K1590" s="110"/>
      <c r="L1590" s="111"/>
    </row>
    <row r="1591" spans="2:12" ht="14.25" customHeight="1" x14ac:dyDescent="0.2">
      <c r="B1591" s="110"/>
      <c r="E1591" s="87"/>
      <c r="K1591" s="110"/>
      <c r="L1591" s="111"/>
    </row>
    <row r="1592" spans="2:12" ht="14.25" customHeight="1" x14ac:dyDescent="0.2">
      <c r="E1592" s="87"/>
      <c r="K1592" s="110"/>
      <c r="L1592" s="111"/>
    </row>
    <row r="1593" spans="2:12" ht="14.25" customHeight="1" x14ac:dyDescent="0.2">
      <c r="E1593" s="87"/>
      <c r="K1593" s="110"/>
      <c r="L1593" s="111"/>
    </row>
    <row r="1594" spans="2:12" ht="14.25" customHeight="1" x14ac:dyDescent="0.2">
      <c r="E1594" s="87"/>
      <c r="K1594" s="110"/>
      <c r="L1594" s="111"/>
    </row>
    <row r="1595" spans="2:12" ht="14.25" customHeight="1" x14ac:dyDescent="0.2">
      <c r="E1595" s="87"/>
      <c r="K1595" s="110"/>
      <c r="L1595" s="111"/>
    </row>
    <row r="1596" spans="2:12" ht="14.25" customHeight="1" x14ac:dyDescent="0.2">
      <c r="E1596" s="87"/>
      <c r="K1596" s="110"/>
      <c r="L1596" s="111"/>
    </row>
    <row r="1597" spans="2:12" ht="14.25" customHeight="1" x14ac:dyDescent="0.2">
      <c r="E1597" s="87"/>
      <c r="K1597" s="110"/>
      <c r="L1597" s="111"/>
    </row>
    <row r="1598" spans="2:12" ht="14.25" customHeight="1" x14ac:dyDescent="0.2">
      <c r="E1598" s="87"/>
      <c r="K1598" s="110"/>
      <c r="L1598" s="111"/>
    </row>
    <row r="1599" spans="2:12" ht="14.25" customHeight="1" x14ac:dyDescent="0.2">
      <c r="E1599" s="87"/>
      <c r="K1599" s="110"/>
      <c r="L1599" s="111"/>
    </row>
    <row r="1600" spans="2:12" ht="14.25" customHeight="1" x14ac:dyDescent="0.2">
      <c r="E1600" s="87"/>
      <c r="K1600" s="110"/>
      <c r="L1600" s="111"/>
    </row>
    <row r="1601" spans="1:12" ht="14.25" customHeight="1" x14ac:dyDescent="0.2">
      <c r="E1601" s="87"/>
      <c r="K1601" s="110"/>
      <c r="L1601" s="111"/>
    </row>
    <row r="1602" spans="1:12" ht="14.25" customHeight="1" x14ac:dyDescent="0.2">
      <c r="E1602" s="87"/>
      <c r="K1602" s="110"/>
      <c r="L1602" s="111"/>
    </row>
    <row r="1603" spans="1:12" ht="14.25" customHeight="1" x14ac:dyDescent="0.2">
      <c r="E1603" s="87"/>
      <c r="K1603" s="110"/>
      <c r="L1603" s="111"/>
    </row>
    <row r="1604" spans="1:12" ht="14.25" customHeight="1" x14ac:dyDescent="0.2">
      <c r="E1604" s="87"/>
      <c r="K1604" s="110"/>
      <c r="L1604" s="111"/>
    </row>
    <row r="1605" spans="1:12" ht="14.25" customHeight="1" x14ac:dyDescent="0.2">
      <c r="E1605" s="87"/>
      <c r="K1605" s="110"/>
      <c r="L1605" s="111"/>
    </row>
    <row r="1606" spans="1:12" ht="14.25" customHeight="1" x14ac:dyDescent="0.2">
      <c r="E1606" s="87"/>
      <c r="K1606" s="110"/>
      <c r="L1606" s="111"/>
    </row>
    <row r="1607" spans="1:12" ht="14.25" customHeight="1" x14ac:dyDescent="0.2">
      <c r="B1607" s="110" t="e">
        <f t="shared" ref="B1607:B1861" ca="1" si="15">_xludf.NUMBERVALUE(L1680)*0.01</f>
        <v>#NAME?</v>
      </c>
      <c r="E1607" s="87"/>
      <c r="K1607" s="110"/>
      <c r="L1607" s="111"/>
    </row>
    <row r="1608" spans="1:12" ht="14.25" customHeight="1" x14ac:dyDescent="0.2">
      <c r="A1608" s="10"/>
      <c r="B1608" s="110" t="e">
        <f t="shared" ca="1" si="15"/>
        <v>#NAME?</v>
      </c>
      <c r="E1608" s="87"/>
      <c r="K1608" s="110"/>
      <c r="L1608" s="111"/>
    </row>
    <row r="1609" spans="1:12" ht="14.25" customHeight="1" x14ac:dyDescent="0.2">
      <c r="B1609" s="110" t="e">
        <f t="shared" ca="1" si="15"/>
        <v>#NAME?</v>
      </c>
      <c r="E1609" s="87"/>
      <c r="K1609" s="110"/>
      <c r="L1609" s="111"/>
    </row>
    <row r="1610" spans="1:12" ht="14.25" customHeight="1" x14ac:dyDescent="0.2">
      <c r="B1610" s="110" t="e">
        <f t="shared" ca="1" si="15"/>
        <v>#NAME?</v>
      </c>
      <c r="E1610" s="87"/>
      <c r="K1610" s="110"/>
      <c r="L1610" s="111"/>
    </row>
    <row r="1611" spans="1:12" ht="14.25" customHeight="1" x14ac:dyDescent="0.2">
      <c r="B1611" s="110" t="e">
        <f t="shared" ca="1" si="15"/>
        <v>#NAME?</v>
      </c>
      <c r="E1611" s="87"/>
      <c r="K1611" s="110"/>
      <c r="L1611" s="111"/>
    </row>
    <row r="1612" spans="1:12" ht="14.25" customHeight="1" x14ac:dyDescent="0.2">
      <c r="B1612" s="110" t="e">
        <f t="shared" ca="1" si="15"/>
        <v>#NAME?</v>
      </c>
      <c r="E1612" s="87"/>
      <c r="K1612" s="110"/>
      <c r="L1612" s="111"/>
    </row>
    <row r="1613" spans="1:12" ht="14.25" customHeight="1" x14ac:dyDescent="0.2">
      <c r="B1613" s="110" t="e">
        <f t="shared" ca="1" si="15"/>
        <v>#NAME?</v>
      </c>
      <c r="E1613" s="87"/>
      <c r="K1613" s="110"/>
      <c r="L1613" s="111"/>
    </row>
    <row r="1614" spans="1:12" ht="14.25" customHeight="1" x14ac:dyDescent="0.2">
      <c r="B1614" s="110" t="e">
        <f t="shared" ca="1" si="15"/>
        <v>#NAME?</v>
      </c>
      <c r="E1614" s="87"/>
      <c r="K1614" s="110"/>
      <c r="L1614" s="111"/>
    </row>
    <row r="1615" spans="1:12" ht="14.25" customHeight="1" x14ac:dyDescent="0.2">
      <c r="B1615" s="110" t="e">
        <f t="shared" ca="1" si="15"/>
        <v>#NAME?</v>
      </c>
      <c r="E1615" s="87"/>
      <c r="K1615" s="110"/>
      <c r="L1615" s="111"/>
    </row>
    <row r="1616" spans="1:12" ht="14.25" customHeight="1" x14ac:dyDescent="0.2">
      <c r="B1616" s="110" t="e">
        <f t="shared" ca="1" si="15"/>
        <v>#NAME?</v>
      </c>
      <c r="E1616" s="87"/>
      <c r="K1616" s="110"/>
      <c r="L1616" s="111"/>
    </row>
    <row r="1617" spans="1:17" ht="14.25" customHeight="1" x14ac:dyDescent="0.2">
      <c r="B1617" s="110" t="e">
        <f t="shared" ca="1" si="15"/>
        <v>#NAME?</v>
      </c>
    </row>
    <row r="1618" spans="1:17" ht="14.25" customHeight="1" x14ac:dyDescent="0.2">
      <c r="B1618" s="110" t="e">
        <f t="shared" ca="1" si="15"/>
        <v>#NAME?</v>
      </c>
    </row>
    <row r="1619" spans="1:17" ht="14.25" customHeight="1" x14ac:dyDescent="0.2">
      <c r="B1619" s="110" t="e">
        <f t="shared" ca="1" si="15"/>
        <v>#NAME?</v>
      </c>
    </row>
    <row r="1620" spans="1:17" ht="14.25" customHeight="1" x14ac:dyDescent="0.2">
      <c r="A1620" s="10"/>
      <c r="B1620" s="110" t="e">
        <f t="shared" ca="1" si="15"/>
        <v>#NAME?</v>
      </c>
    </row>
    <row r="1621" spans="1:17" ht="14.25" customHeight="1" x14ac:dyDescent="0.2">
      <c r="B1621" s="110" t="e">
        <f t="shared" ca="1" si="15"/>
        <v>#NAME?</v>
      </c>
      <c r="C1621" s="112"/>
      <c r="D1621" s="112"/>
      <c r="E1621" s="112"/>
      <c r="F1621" s="112"/>
      <c r="G1621" s="112"/>
      <c r="H1621" s="112"/>
      <c r="I1621" s="112"/>
      <c r="J1621" s="112"/>
      <c r="K1621" s="112"/>
      <c r="L1621" s="112"/>
      <c r="M1621" s="112"/>
      <c r="N1621" s="112"/>
      <c r="O1621" s="112"/>
      <c r="P1621" s="112"/>
      <c r="Q1621" s="112"/>
    </row>
    <row r="1622" spans="1:17" ht="14.25" customHeight="1" x14ac:dyDescent="0.2">
      <c r="A1622" s="10"/>
      <c r="B1622" s="110" t="e">
        <f t="shared" ca="1" si="15"/>
        <v>#NAME?</v>
      </c>
    </row>
    <row r="1623" spans="1:17" ht="14.25" customHeight="1" x14ac:dyDescent="0.2">
      <c r="B1623" s="110" t="e">
        <f t="shared" ca="1" si="15"/>
        <v>#NAME?</v>
      </c>
    </row>
    <row r="1624" spans="1:17" ht="14.25" customHeight="1" x14ac:dyDescent="0.2">
      <c r="B1624" s="110" t="e">
        <f t="shared" ca="1" si="15"/>
        <v>#NAME?</v>
      </c>
    </row>
    <row r="1625" spans="1:17" ht="14.25" customHeight="1" x14ac:dyDescent="0.2">
      <c r="B1625" s="110" t="e">
        <f t="shared" ca="1" si="15"/>
        <v>#NAME?</v>
      </c>
    </row>
    <row r="1626" spans="1:17" ht="14.25" customHeight="1" x14ac:dyDescent="0.2">
      <c r="B1626" s="110" t="e">
        <f t="shared" ca="1" si="15"/>
        <v>#NAME?</v>
      </c>
    </row>
    <row r="1627" spans="1:17" ht="14.25" customHeight="1" x14ac:dyDescent="0.2">
      <c r="B1627" s="110" t="e">
        <f t="shared" ca="1" si="15"/>
        <v>#NAME?</v>
      </c>
    </row>
    <row r="1628" spans="1:17" ht="14.25" customHeight="1" x14ac:dyDescent="0.2">
      <c r="B1628" s="110" t="e">
        <f t="shared" ca="1" si="15"/>
        <v>#NAME?</v>
      </c>
    </row>
    <row r="1629" spans="1:17" ht="14.25" customHeight="1" x14ac:dyDescent="0.2">
      <c r="B1629" s="110" t="e">
        <f t="shared" ca="1" si="15"/>
        <v>#NAME?</v>
      </c>
    </row>
    <row r="1630" spans="1:17" ht="14.25" customHeight="1" x14ac:dyDescent="0.2">
      <c r="B1630" s="110" t="e">
        <f t="shared" ca="1" si="15"/>
        <v>#NAME?</v>
      </c>
    </row>
    <row r="1631" spans="1:17" ht="14.25" customHeight="1" x14ac:dyDescent="0.2">
      <c r="B1631" s="110" t="e">
        <f t="shared" ca="1" si="15"/>
        <v>#NAME?</v>
      </c>
    </row>
    <row r="1632" spans="1:17" ht="14.25" customHeight="1" x14ac:dyDescent="0.2">
      <c r="B1632" s="110" t="e">
        <f t="shared" ca="1" si="15"/>
        <v>#NAME?</v>
      </c>
    </row>
    <row r="1633" spans="1:12" ht="14.25" customHeight="1" x14ac:dyDescent="0.2">
      <c r="B1633" s="110" t="e">
        <f t="shared" ca="1" si="15"/>
        <v>#NAME?</v>
      </c>
      <c r="E1633" s="87"/>
      <c r="K1633" s="110"/>
      <c r="L1633" s="111"/>
    </row>
    <row r="1634" spans="1:12" ht="14.25" customHeight="1" x14ac:dyDescent="0.2">
      <c r="B1634" s="110" t="e">
        <f t="shared" ca="1" si="15"/>
        <v>#NAME?</v>
      </c>
      <c r="E1634" s="87"/>
      <c r="K1634" s="110"/>
      <c r="L1634" s="111"/>
    </row>
    <row r="1635" spans="1:12" ht="14.25" customHeight="1" x14ac:dyDescent="0.2">
      <c r="B1635" s="110" t="e">
        <f t="shared" ca="1" si="15"/>
        <v>#NAME?</v>
      </c>
      <c r="E1635" s="87"/>
      <c r="K1635" s="110"/>
      <c r="L1635" s="111"/>
    </row>
    <row r="1636" spans="1:12" ht="14.25" customHeight="1" x14ac:dyDescent="0.2">
      <c r="B1636" s="110" t="e">
        <f t="shared" ca="1" si="15"/>
        <v>#NAME?</v>
      </c>
      <c r="E1636" s="87"/>
      <c r="K1636" s="110"/>
      <c r="L1636" s="111"/>
    </row>
    <row r="1637" spans="1:12" ht="14.25" customHeight="1" x14ac:dyDescent="0.2">
      <c r="B1637" s="110" t="e">
        <f t="shared" ca="1" si="15"/>
        <v>#NAME?</v>
      </c>
      <c r="E1637" s="87"/>
      <c r="K1637" s="110"/>
      <c r="L1637" s="111"/>
    </row>
    <row r="1638" spans="1:12" ht="14.25" customHeight="1" x14ac:dyDescent="0.2">
      <c r="B1638" s="110" t="e">
        <f t="shared" ca="1" si="15"/>
        <v>#NAME?</v>
      </c>
      <c r="E1638" s="87"/>
      <c r="K1638" s="110"/>
      <c r="L1638" s="111"/>
    </row>
    <row r="1639" spans="1:12" ht="14.25" customHeight="1" x14ac:dyDescent="0.2">
      <c r="B1639" s="110" t="e">
        <f t="shared" ca="1" si="15"/>
        <v>#NAME?</v>
      </c>
      <c r="E1639" s="87"/>
      <c r="K1639" s="110"/>
      <c r="L1639" s="111"/>
    </row>
    <row r="1640" spans="1:12" ht="14.25" customHeight="1" x14ac:dyDescent="0.2">
      <c r="A1640" s="10"/>
      <c r="B1640" s="110" t="e">
        <f t="shared" ca="1" si="15"/>
        <v>#NAME?</v>
      </c>
      <c r="E1640" s="87"/>
      <c r="K1640" s="110"/>
      <c r="L1640" s="111"/>
    </row>
    <row r="1641" spans="1:12" ht="14.25" customHeight="1" x14ac:dyDescent="0.2">
      <c r="B1641" s="110" t="e">
        <f t="shared" ca="1" si="15"/>
        <v>#NAME?</v>
      </c>
      <c r="E1641" s="87"/>
      <c r="K1641" s="110"/>
      <c r="L1641" s="111"/>
    </row>
    <row r="1642" spans="1:12" ht="14.25" customHeight="1" x14ac:dyDescent="0.2">
      <c r="B1642" s="110" t="e">
        <f t="shared" ca="1" si="15"/>
        <v>#NAME?</v>
      </c>
      <c r="E1642" s="87"/>
      <c r="K1642" s="110"/>
      <c r="L1642" s="111"/>
    </row>
    <row r="1643" spans="1:12" ht="14.25" customHeight="1" x14ac:dyDescent="0.2">
      <c r="B1643" s="110" t="e">
        <f t="shared" ca="1" si="15"/>
        <v>#NAME?</v>
      </c>
      <c r="E1643" s="87"/>
      <c r="K1643" s="110"/>
      <c r="L1643" s="111"/>
    </row>
    <row r="1644" spans="1:12" ht="14.25" customHeight="1" x14ac:dyDescent="0.2">
      <c r="B1644" s="110" t="e">
        <f t="shared" ca="1" si="15"/>
        <v>#NAME?</v>
      </c>
      <c r="E1644" s="87"/>
      <c r="K1644" s="110"/>
      <c r="L1644" s="111"/>
    </row>
    <row r="1645" spans="1:12" ht="14.25" customHeight="1" x14ac:dyDescent="0.2">
      <c r="B1645" s="110" t="e">
        <f t="shared" ca="1" si="15"/>
        <v>#NAME?</v>
      </c>
      <c r="E1645" s="87"/>
      <c r="K1645" s="110"/>
      <c r="L1645" s="111"/>
    </row>
    <row r="1646" spans="1:12" ht="14.25" customHeight="1" x14ac:dyDescent="0.2">
      <c r="B1646" s="110" t="e">
        <f t="shared" ca="1" si="15"/>
        <v>#NAME?</v>
      </c>
      <c r="E1646" s="87"/>
      <c r="K1646" s="110"/>
      <c r="L1646" s="111"/>
    </row>
    <row r="1647" spans="1:12" ht="14.25" customHeight="1" x14ac:dyDescent="0.2">
      <c r="B1647" s="110" t="e">
        <f t="shared" ca="1" si="15"/>
        <v>#NAME?</v>
      </c>
      <c r="E1647" s="87"/>
      <c r="K1647" s="110"/>
      <c r="L1647" s="111"/>
    </row>
    <row r="1648" spans="1:12" ht="14.25" customHeight="1" x14ac:dyDescent="0.2">
      <c r="B1648" s="110" t="e">
        <f t="shared" ca="1" si="15"/>
        <v>#NAME?</v>
      </c>
      <c r="E1648" s="87"/>
      <c r="K1648" s="110"/>
      <c r="L1648" s="111"/>
    </row>
    <row r="1649" spans="1:12" ht="14.25" customHeight="1" x14ac:dyDescent="0.2">
      <c r="B1649" s="110" t="e">
        <f t="shared" ca="1" si="15"/>
        <v>#NAME?</v>
      </c>
      <c r="E1649" s="87"/>
      <c r="K1649" s="110"/>
      <c r="L1649" s="111"/>
    </row>
    <row r="1650" spans="1:12" ht="14.25" customHeight="1" x14ac:dyDescent="0.2">
      <c r="B1650" s="110" t="e">
        <f t="shared" ca="1" si="15"/>
        <v>#NAME?</v>
      </c>
      <c r="E1650" s="87"/>
      <c r="K1650" s="110"/>
      <c r="L1650" s="111"/>
    </row>
    <row r="1651" spans="1:12" ht="14.25" customHeight="1" x14ac:dyDescent="0.2">
      <c r="B1651" s="110" t="e">
        <f t="shared" ca="1" si="15"/>
        <v>#NAME?</v>
      </c>
      <c r="E1651" s="87"/>
      <c r="K1651" s="110"/>
      <c r="L1651" s="111"/>
    </row>
    <row r="1652" spans="1:12" ht="14.25" customHeight="1" x14ac:dyDescent="0.2">
      <c r="B1652" s="110" t="e">
        <f t="shared" ca="1" si="15"/>
        <v>#NAME?</v>
      </c>
      <c r="E1652" s="87"/>
      <c r="K1652" s="110"/>
      <c r="L1652" s="111"/>
    </row>
    <row r="1653" spans="1:12" ht="14.25" customHeight="1" x14ac:dyDescent="0.2">
      <c r="B1653" s="110" t="e">
        <f t="shared" ca="1" si="15"/>
        <v>#NAME?</v>
      </c>
      <c r="E1653" s="87"/>
      <c r="K1653" s="110"/>
      <c r="L1653" s="111"/>
    </row>
    <row r="1654" spans="1:12" ht="14.25" customHeight="1" x14ac:dyDescent="0.2">
      <c r="B1654" s="110" t="e">
        <f t="shared" ca="1" si="15"/>
        <v>#NAME?</v>
      </c>
      <c r="E1654" s="87"/>
      <c r="K1654" s="110"/>
      <c r="L1654" s="111"/>
    </row>
    <row r="1655" spans="1:12" ht="14.25" customHeight="1" x14ac:dyDescent="0.2">
      <c r="A1655" s="10"/>
      <c r="B1655" s="110" t="e">
        <f t="shared" ca="1" si="15"/>
        <v>#NAME?</v>
      </c>
      <c r="E1655" s="87"/>
      <c r="K1655" s="110"/>
      <c r="L1655" s="111"/>
    </row>
    <row r="1656" spans="1:12" ht="14.25" customHeight="1" x14ac:dyDescent="0.2">
      <c r="B1656" s="110" t="e">
        <f t="shared" ca="1" si="15"/>
        <v>#NAME?</v>
      </c>
      <c r="E1656" s="87"/>
      <c r="K1656" s="110"/>
      <c r="L1656" s="111"/>
    </row>
    <row r="1657" spans="1:12" ht="14.25" customHeight="1" x14ac:dyDescent="0.2">
      <c r="A1657" s="10"/>
      <c r="B1657" s="110" t="e">
        <f t="shared" ca="1" si="15"/>
        <v>#NAME?</v>
      </c>
      <c r="E1657" s="87"/>
      <c r="K1657" s="110"/>
      <c r="L1657" s="111"/>
    </row>
    <row r="1658" spans="1:12" ht="14.25" customHeight="1" x14ac:dyDescent="0.2">
      <c r="A1658" s="10"/>
      <c r="B1658" s="110" t="e">
        <f t="shared" ca="1" si="15"/>
        <v>#NAME?</v>
      </c>
      <c r="E1658" s="87"/>
      <c r="K1658" s="110"/>
      <c r="L1658" s="111"/>
    </row>
    <row r="1659" spans="1:12" ht="14.25" customHeight="1" x14ac:dyDescent="0.2">
      <c r="A1659" s="10"/>
      <c r="B1659" s="110" t="e">
        <f t="shared" ca="1" si="15"/>
        <v>#NAME?</v>
      </c>
      <c r="E1659" s="87"/>
      <c r="K1659" s="110"/>
      <c r="L1659" s="111"/>
    </row>
    <row r="1660" spans="1:12" ht="14.25" customHeight="1" x14ac:dyDescent="0.2">
      <c r="A1660" s="10"/>
      <c r="B1660" s="110" t="e">
        <f t="shared" ca="1" si="15"/>
        <v>#NAME?</v>
      </c>
      <c r="E1660" s="87"/>
      <c r="K1660" s="110"/>
      <c r="L1660" s="111"/>
    </row>
    <row r="1661" spans="1:12" ht="14.25" customHeight="1" x14ac:dyDescent="0.2">
      <c r="A1661" s="10"/>
      <c r="B1661" s="110" t="e">
        <f t="shared" ca="1" si="15"/>
        <v>#NAME?</v>
      </c>
      <c r="E1661" s="87"/>
      <c r="K1661" s="110"/>
      <c r="L1661" s="111"/>
    </row>
    <row r="1662" spans="1:12" ht="14.25" customHeight="1" x14ac:dyDescent="0.2">
      <c r="A1662" s="10"/>
      <c r="B1662" s="110" t="e">
        <f t="shared" ca="1" si="15"/>
        <v>#NAME?</v>
      </c>
      <c r="E1662" s="87"/>
      <c r="K1662" s="110"/>
      <c r="L1662" s="111"/>
    </row>
    <row r="1663" spans="1:12" ht="14.25" customHeight="1" x14ac:dyDescent="0.2">
      <c r="A1663" s="10"/>
      <c r="B1663" s="110" t="e">
        <f t="shared" ca="1" si="15"/>
        <v>#NAME?</v>
      </c>
      <c r="E1663" s="87"/>
      <c r="K1663" s="110"/>
      <c r="L1663" s="111"/>
    </row>
    <row r="1664" spans="1:12" ht="14.25" customHeight="1" x14ac:dyDescent="0.2">
      <c r="A1664" s="10"/>
      <c r="B1664" s="110" t="e">
        <f t="shared" ca="1" si="15"/>
        <v>#NAME?</v>
      </c>
      <c r="E1664" s="87"/>
      <c r="K1664" s="110"/>
      <c r="L1664" s="111"/>
    </row>
    <row r="1665" spans="1:12" ht="14.25" customHeight="1" x14ac:dyDescent="0.2">
      <c r="A1665" s="10"/>
      <c r="B1665" s="110" t="e">
        <f t="shared" ca="1" si="15"/>
        <v>#NAME?</v>
      </c>
    </row>
    <row r="1666" spans="1:12" ht="14.25" customHeight="1" x14ac:dyDescent="0.2">
      <c r="A1666" s="10"/>
      <c r="B1666" s="110" t="e">
        <f t="shared" ca="1" si="15"/>
        <v>#NAME?</v>
      </c>
    </row>
    <row r="1667" spans="1:12" ht="14.25" customHeight="1" x14ac:dyDescent="0.2">
      <c r="A1667" s="10"/>
      <c r="B1667" s="110" t="e">
        <f t="shared" ca="1" si="15"/>
        <v>#NAME?</v>
      </c>
    </row>
    <row r="1668" spans="1:12" ht="14.25" customHeight="1" x14ac:dyDescent="0.2">
      <c r="A1668" s="10"/>
      <c r="B1668" s="110" t="e">
        <f t="shared" ca="1" si="15"/>
        <v>#NAME?</v>
      </c>
    </row>
    <row r="1669" spans="1:12" ht="14.25" customHeight="1" x14ac:dyDescent="0.2">
      <c r="A1669" s="10"/>
      <c r="B1669" s="110" t="e">
        <f t="shared" ca="1" si="15"/>
        <v>#NAME?</v>
      </c>
    </row>
    <row r="1670" spans="1:12" ht="14.25" customHeight="1" x14ac:dyDescent="0.2">
      <c r="A1670" s="10"/>
      <c r="B1670" s="110" t="e">
        <f t="shared" ca="1" si="15"/>
        <v>#NAME?</v>
      </c>
    </row>
    <row r="1671" spans="1:12" ht="14.25" customHeight="1" x14ac:dyDescent="0.2">
      <c r="A1671" s="10"/>
      <c r="B1671" s="110" t="e">
        <f t="shared" ca="1" si="15"/>
        <v>#NAME?</v>
      </c>
    </row>
    <row r="1672" spans="1:12" ht="14.25" customHeight="1" x14ac:dyDescent="0.2">
      <c r="A1672" s="10"/>
      <c r="B1672" s="110" t="e">
        <f t="shared" ca="1" si="15"/>
        <v>#NAME?</v>
      </c>
    </row>
    <row r="1673" spans="1:12" ht="14.25" customHeight="1" x14ac:dyDescent="0.2">
      <c r="A1673" s="10"/>
      <c r="B1673" s="110" t="e">
        <f t="shared" ca="1" si="15"/>
        <v>#NAME?</v>
      </c>
    </row>
    <row r="1674" spans="1:12" ht="14.25" customHeight="1" x14ac:dyDescent="0.2">
      <c r="A1674" s="10"/>
      <c r="B1674" s="110" t="e">
        <f t="shared" ca="1" si="15"/>
        <v>#NAME?</v>
      </c>
    </row>
    <row r="1675" spans="1:12" ht="14.25" customHeight="1" x14ac:dyDescent="0.2">
      <c r="A1675" s="10"/>
      <c r="B1675" s="110" t="e">
        <f t="shared" ca="1" si="15"/>
        <v>#NAME?</v>
      </c>
    </row>
    <row r="1676" spans="1:12" ht="14.25" customHeight="1" x14ac:dyDescent="0.2">
      <c r="A1676" s="10"/>
      <c r="B1676" s="110" t="e">
        <f t="shared" ca="1" si="15"/>
        <v>#NAME?</v>
      </c>
    </row>
    <row r="1677" spans="1:12" ht="14.25" customHeight="1" x14ac:dyDescent="0.2">
      <c r="A1677" s="10"/>
      <c r="B1677" s="110" t="e">
        <f t="shared" ca="1" si="15"/>
        <v>#NAME?</v>
      </c>
    </row>
    <row r="1678" spans="1:12" ht="14.25" customHeight="1" x14ac:dyDescent="0.2">
      <c r="A1678" s="10"/>
      <c r="B1678" s="110" t="e">
        <f t="shared" ca="1" si="15"/>
        <v>#NAME?</v>
      </c>
    </row>
    <row r="1679" spans="1:12" ht="14.25" customHeight="1" x14ac:dyDescent="0.2">
      <c r="A1679" s="10"/>
      <c r="B1679" s="110" t="e">
        <f t="shared" ca="1" si="15"/>
        <v>#NAME?</v>
      </c>
    </row>
    <row r="1680" spans="1:12" ht="14.25" customHeight="1" x14ac:dyDescent="0.2">
      <c r="A1680" s="10"/>
      <c r="B1680" s="110" t="e">
        <f t="shared" ca="1" si="15"/>
        <v>#NAME?</v>
      </c>
      <c r="C1680" s="113"/>
      <c r="D1680" s="113"/>
      <c r="E1680" s="114"/>
      <c r="J1680" s="115"/>
      <c r="K1680" s="110"/>
      <c r="L1680" s="111"/>
    </row>
    <row r="1681" spans="1:15" ht="14.25" customHeight="1" x14ac:dyDescent="0.2">
      <c r="A1681" s="10"/>
      <c r="B1681" s="110" t="e">
        <f t="shared" ca="1" si="15"/>
        <v>#NAME?</v>
      </c>
      <c r="C1681" s="113"/>
      <c r="D1681" s="113"/>
      <c r="E1681" s="114"/>
      <c r="J1681" s="115"/>
      <c r="K1681" s="110"/>
      <c r="L1681" s="111"/>
      <c r="O1681" s="116"/>
    </row>
    <row r="1682" spans="1:15" ht="14.25" customHeight="1" x14ac:dyDescent="0.2">
      <c r="A1682" s="10"/>
      <c r="B1682" s="110" t="e">
        <f t="shared" ca="1" si="15"/>
        <v>#NAME?</v>
      </c>
      <c r="C1682" s="113"/>
      <c r="D1682" s="113"/>
      <c r="E1682" s="114"/>
      <c r="J1682" s="115"/>
      <c r="K1682" s="110"/>
      <c r="L1682" s="111"/>
    </row>
    <row r="1683" spans="1:15" ht="14.25" customHeight="1" x14ac:dyDescent="0.2">
      <c r="A1683" s="10"/>
      <c r="B1683" s="110" t="e">
        <f t="shared" ca="1" si="15"/>
        <v>#NAME?</v>
      </c>
      <c r="C1683" s="113"/>
      <c r="D1683" s="113"/>
      <c r="E1683" s="114"/>
      <c r="K1683" s="110"/>
      <c r="L1683" s="111"/>
    </row>
    <row r="1684" spans="1:15" ht="14.25" customHeight="1" x14ac:dyDescent="0.2">
      <c r="A1684" s="10"/>
      <c r="B1684" s="110" t="e">
        <f t="shared" ca="1" si="15"/>
        <v>#NAME?</v>
      </c>
      <c r="C1684" s="113"/>
      <c r="D1684" s="113"/>
      <c r="E1684" s="114"/>
      <c r="K1684" s="110"/>
      <c r="L1684" s="111"/>
    </row>
    <row r="1685" spans="1:15" ht="14.25" customHeight="1" x14ac:dyDescent="0.2">
      <c r="A1685" s="10"/>
      <c r="B1685" s="110" t="e">
        <f t="shared" ca="1" si="15"/>
        <v>#NAME?</v>
      </c>
      <c r="C1685" s="113"/>
      <c r="D1685" s="113"/>
      <c r="E1685" s="114"/>
      <c r="K1685" s="110"/>
      <c r="L1685" s="111"/>
    </row>
    <row r="1686" spans="1:15" ht="14.25" customHeight="1" x14ac:dyDescent="0.2">
      <c r="A1686" s="10"/>
      <c r="B1686" s="110" t="e">
        <f t="shared" ca="1" si="15"/>
        <v>#NAME?</v>
      </c>
      <c r="C1686" s="113"/>
      <c r="D1686" s="113"/>
      <c r="E1686" s="114"/>
      <c r="K1686" s="110"/>
      <c r="L1686" s="111"/>
    </row>
    <row r="1687" spans="1:15" ht="14.25" customHeight="1" x14ac:dyDescent="0.2">
      <c r="A1687" s="10"/>
      <c r="B1687" s="110" t="e">
        <f t="shared" ca="1" si="15"/>
        <v>#NAME?</v>
      </c>
      <c r="C1687" s="113"/>
      <c r="D1687" s="113"/>
      <c r="E1687" s="114"/>
      <c r="K1687" s="110"/>
      <c r="L1687" s="111"/>
    </row>
    <row r="1688" spans="1:15" ht="14.25" customHeight="1" x14ac:dyDescent="0.2">
      <c r="A1688" s="10"/>
      <c r="B1688" s="110" t="e">
        <f t="shared" ca="1" si="15"/>
        <v>#NAME?</v>
      </c>
      <c r="C1688" s="113"/>
      <c r="D1688" s="113"/>
      <c r="E1688" s="114"/>
      <c r="K1688" s="110"/>
      <c r="L1688" s="111"/>
    </row>
    <row r="1689" spans="1:15" ht="14.25" customHeight="1" x14ac:dyDescent="0.2">
      <c r="A1689" s="10"/>
      <c r="B1689" s="110" t="e">
        <f t="shared" ca="1" si="15"/>
        <v>#NAME?</v>
      </c>
      <c r="C1689" s="113"/>
      <c r="D1689" s="113"/>
      <c r="E1689" s="114"/>
      <c r="K1689" s="110"/>
      <c r="L1689" s="111"/>
    </row>
    <row r="1690" spans="1:15" ht="14.25" customHeight="1" x14ac:dyDescent="0.2">
      <c r="A1690" s="10"/>
      <c r="B1690" s="110" t="e">
        <f t="shared" ca="1" si="15"/>
        <v>#NAME?</v>
      </c>
      <c r="C1690" s="113"/>
      <c r="D1690" s="113"/>
      <c r="E1690" s="114"/>
      <c r="K1690" s="110"/>
      <c r="L1690" s="111"/>
    </row>
    <row r="1691" spans="1:15" ht="14.25" customHeight="1" x14ac:dyDescent="0.2">
      <c r="A1691" s="10"/>
      <c r="B1691" s="110" t="e">
        <f t="shared" ca="1" si="15"/>
        <v>#NAME?</v>
      </c>
      <c r="C1691" s="113"/>
      <c r="D1691" s="113"/>
      <c r="E1691" s="114"/>
      <c r="K1691" s="110"/>
      <c r="L1691" s="111"/>
    </row>
    <row r="1692" spans="1:15" ht="14.25" customHeight="1" x14ac:dyDescent="0.2">
      <c r="A1692" s="10"/>
      <c r="B1692" s="110" t="e">
        <f t="shared" ca="1" si="15"/>
        <v>#NAME?</v>
      </c>
      <c r="C1692" s="113"/>
      <c r="D1692" s="113"/>
      <c r="E1692" s="114"/>
      <c r="K1692" s="110"/>
      <c r="L1692" s="111"/>
    </row>
    <row r="1693" spans="1:15" ht="14.25" customHeight="1" x14ac:dyDescent="0.2">
      <c r="A1693" s="10"/>
      <c r="B1693" s="110" t="e">
        <f t="shared" ca="1" si="15"/>
        <v>#NAME?</v>
      </c>
      <c r="C1693" s="113"/>
      <c r="D1693" s="113"/>
      <c r="E1693" s="114"/>
      <c r="J1693" s="115"/>
      <c r="K1693" s="110"/>
      <c r="L1693" s="111"/>
    </row>
    <row r="1694" spans="1:15" ht="14.25" customHeight="1" x14ac:dyDescent="0.2">
      <c r="A1694" s="10"/>
      <c r="B1694" s="110" t="e">
        <f t="shared" ca="1" si="15"/>
        <v>#NAME?</v>
      </c>
      <c r="C1694" s="113"/>
      <c r="D1694" s="113"/>
      <c r="E1694" s="114"/>
      <c r="J1694" s="115"/>
      <c r="K1694" s="110"/>
      <c r="L1694" s="111"/>
    </row>
    <row r="1695" spans="1:15" ht="14.25" customHeight="1" x14ac:dyDescent="0.2">
      <c r="A1695" s="10"/>
      <c r="B1695" s="110" t="e">
        <f t="shared" ca="1" si="15"/>
        <v>#NAME?</v>
      </c>
      <c r="C1695" s="113"/>
      <c r="D1695" s="113"/>
      <c r="E1695" s="114"/>
      <c r="J1695" s="115"/>
      <c r="K1695" s="110"/>
      <c r="L1695" s="111"/>
    </row>
    <row r="1696" spans="1:15" ht="14.25" customHeight="1" x14ac:dyDescent="0.2">
      <c r="A1696" s="10"/>
      <c r="B1696" s="110" t="e">
        <f t="shared" ca="1" si="15"/>
        <v>#NAME?</v>
      </c>
      <c r="C1696" s="113"/>
      <c r="D1696" s="113"/>
      <c r="E1696" s="114"/>
      <c r="J1696" s="115"/>
      <c r="K1696" s="110"/>
      <c r="L1696" s="111"/>
    </row>
    <row r="1697" spans="1:13" ht="14.25" customHeight="1" x14ac:dyDescent="0.2">
      <c r="A1697" s="10"/>
      <c r="B1697" s="110" t="e">
        <f t="shared" ca="1" si="15"/>
        <v>#NAME?</v>
      </c>
      <c r="C1697" s="113"/>
      <c r="D1697" s="113"/>
      <c r="E1697" s="114"/>
      <c r="J1697" s="115"/>
      <c r="K1697" s="110"/>
      <c r="L1697" s="111"/>
    </row>
    <row r="1698" spans="1:13" ht="14.25" customHeight="1" x14ac:dyDescent="0.2">
      <c r="A1698" s="1"/>
      <c r="B1698" s="110" t="e">
        <f t="shared" ca="1" si="15"/>
        <v>#NAME?</v>
      </c>
      <c r="C1698" s="113"/>
      <c r="D1698" s="113"/>
      <c r="E1698" s="114"/>
      <c r="J1698" s="115"/>
      <c r="K1698" s="110"/>
      <c r="L1698" s="111"/>
    </row>
    <row r="1699" spans="1:13" ht="14.25" customHeight="1" x14ac:dyDescent="0.2">
      <c r="A1699" s="10"/>
      <c r="B1699" s="110" t="e">
        <f t="shared" ca="1" si="15"/>
        <v>#NAME?</v>
      </c>
      <c r="C1699" s="113"/>
      <c r="D1699" s="113"/>
      <c r="E1699" s="114"/>
      <c r="J1699" s="115"/>
      <c r="K1699" s="110"/>
      <c r="L1699" s="111"/>
    </row>
    <row r="1700" spans="1:13" ht="14.25" customHeight="1" x14ac:dyDescent="0.2">
      <c r="A1700" s="10"/>
      <c r="B1700" s="110" t="e">
        <f t="shared" ca="1" si="15"/>
        <v>#NAME?</v>
      </c>
      <c r="C1700" s="113"/>
      <c r="D1700" s="113"/>
      <c r="E1700" s="114"/>
      <c r="J1700" s="115"/>
      <c r="K1700" s="110"/>
      <c r="L1700" s="111"/>
    </row>
    <row r="1701" spans="1:13" ht="14.25" customHeight="1" x14ac:dyDescent="0.2">
      <c r="A1701" s="10"/>
      <c r="B1701" s="110" t="e">
        <f t="shared" ca="1" si="15"/>
        <v>#NAME?</v>
      </c>
      <c r="C1701" s="113"/>
      <c r="D1701" s="113"/>
      <c r="E1701" s="114"/>
      <c r="J1701" s="115"/>
      <c r="K1701" s="110"/>
      <c r="L1701" s="111"/>
    </row>
    <row r="1702" spans="1:13" ht="14.25" customHeight="1" x14ac:dyDescent="0.2">
      <c r="A1702" s="10"/>
      <c r="B1702" s="110" t="e">
        <f t="shared" ca="1" si="15"/>
        <v>#NAME?</v>
      </c>
      <c r="C1702" s="113"/>
      <c r="D1702" s="113"/>
      <c r="E1702" s="114"/>
      <c r="J1702" s="115"/>
      <c r="K1702" s="110"/>
      <c r="L1702" s="111"/>
    </row>
    <row r="1703" spans="1:13" ht="14.25" customHeight="1" x14ac:dyDescent="0.2">
      <c r="A1703" s="10"/>
      <c r="B1703" s="110" t="e">
        <f t="shared" ca="1" si="15"/>
        <v>#NAME?</v>
      </c>
      <c r="C1703" s="113"/>
      <c r="D1703" s="113"/>
      <c r="E1703" s="114"/>
      <c r="J1703" s="115"/>
      <c r="K1703" s="110"/>
      <c r="L1703" s="111"/>
    </row>
    <row r="1704" spans="1:13" ht="14.25" customHeight="1" x14ac:dyDescent="0.2">
      <c r="A1704" s="10"/>
      <c r="B1704" s="110" t="e">
        <f t="shared" ca="1" si="15"/>
        <v>#NAME?</v>
      </c>
      <c r="C1704" s="113"/>
      <c r="D1704" s="113"/>
      <c r="E1704" s="114"/>
      <c r="J1704" s="115"/>
      <c r="K1704" s="110"/>
      <c r="L1704" s="111"/>
    </row>
    <row r="1705" spans="1:13" ht="14.25" customHeight="1" x14ac:dyDescent="0.2">
      <c r="A1705" s="10"/>
      <c r="B1705" s="110" t="e">
        <f t="shared" ca="1" si="15"/>
        <v>#NAME?</v>
      </c>
      <c r="C1705" s="113"/>
      <c r="D1705" s="113"/>
      <c r="E1705" s="114"/>
      <c r="J1705" s="115"/>
      <c r="K1705" s="110"/>
      <c r="L1705" s="111"/>
    </row>
    <row r="1706" spans="1:13" ht="14.25" customHeight="1" x14ac:dyDescent="0.2">
      <c r="A1706" s="10"/>
      <c r="B1706" s="110" t="e">
        <f t="shared" ca="1" si="15"/>
        <v>#NAME?</v>
      </c>
      <c r="C1706" s="113"/>
      <c r="D1706" s="113"/>
      <c r="E1706" s="114"/>
      <c r="J1706" s="115"/>
      <c r="K1706" s="110"/>
      <c r="L1706" s="111"/>
    </row>
    <row r="1707" spans="1:13" ht="14.25" customHeight="1" x14ac:dyDescent="0.2">
      <c r="A1707" s="10"/>
      <c r="B1707" s="110" t="e">
        <f t="shared" ca="1" si="15"/>
        <v>#NAME?</v>
      </c>
      <c r="C1707" s="113"/>
      <c r="D1707" s="113"/>
      <c r="E1707" s="114"/>
      <c r="J1707" s="115"/>
      <c r="K1707" s="110"/>
      <c r="L1707" s="111"/>
    </row>
    <row r="1708" spans="1:13" ht="14.25" customHeight="1" x14ac:dyDescent="0.2">
      <c r="A1708" s="10"/>
      <c r="B1708" s="110" t="e">
        <f t="shared" ca="1" si="15"/>
        <v>#NAME?</v>
      </c>
      <c r="C1708" s="113"/>
      <c r="D1708" s="113"/>
      <c r="E1708" s="114"/>
      <c r="J1708" s="115"/>
      <c r="K1708" s="110"/>
      <c r="L1708" s="111"/>
    </row>
    <row r="1709" spans="1:13" ht="14.25" customHeight="1" x14ac:dyDescent="0.2">
      <c r="A1709" s="10"/>
      <c r="B1709" s="110" t="e">
        <f t="shared" ca="1" si="15"/>
        <v>#NAME?</v>
      </c>
      <c r="C1709" s="113"/>
      <c r="D1709" s="113"/>
      <c r="E1709" s="114"/>
      <c r="J1709" s="115"/>
      <c r="K1709" s="110"/>
      <c r="L1709" s="111"/>
      <c r="M1709" s="116"/>
    </row>
    <row r="1710" spans="1:13" ht="14.25" customHeight="1" x14ac:dyDescent="0.2">
      <c r="A1710" s="10"/>
      <c r="B1710" s="110" t="e">
        <f t="shared" ca="1" si="15"/>
        <v>#NAME?</v>
      </c>
      <c r="C1710" s="113"/>
      <c r="D1710" s="113"/>
      <c r="E1710" s="114"/>
      <c r="J1710" s="115"/>
      <c r="K1710" s="110"/>
      <c r="L1710" s="111"/>
    </row>
    <row r="1711" spans="1:13" ht="14.25" customHeight="1" x14ac:dyDescent="0.2">
      <c r="A1711" s="10"/>
      <c r="B1711" s="110" t="e">
        <f t="shared" ca="1" si="15"/>
        <v>#NAME?</v>
      </c>
      <c r="C1711" s="113"/>
      <c r="D1711" s="113"/>
      <c r="E1711" s="114"/>
      <c r="J1711" s="115"/>
      <c r="K1711" s="110"/>
      <c r="L1711" s="111"/>
    </row>
    <row r="1712" spans="1:13" ht="14.25" customHeight="1" x14ac:dyDescent="0.2">
      <c r="A1712" s="10"/>
      <c r="B1712" s="110" t="e">
        <f t="shared" ca="1" si="15"/>
        <v>#NAME?</v>
      </c>
      <c r="C1712" s="113"/>
      <c r="D1712" s="113"/>
      <c r="E1712" s="114"/>
      <c r="J1712" s="115"/>
      <c r="K1712" s="110"/>
      <c r="L1712" s="111"/>
    </row>
    <row r="1713" spans="1:12" ht="14.25" customHeight="1" x14ac:dyDescent="0.2">
      <c r="A1713" s="10"/>
      <c r="B1713" s="110" t="e">
        <f t="shared" ca="1" si="15"/>
        <v>#NAME?</v>
      </c>
      <c r="C1713" s="113"/>
      <c r="D1713" s="113"/>
      <c r="E1713" s="114"/>
      <c r="J1713" s="115"/>
      <c r="K1713" s="110"/>
      <c r="L1713" s="111"/>
    </row>
    <row r="1714" spans="1:12" ht="14.25" customHeight="1" x14ac:dyDescent="0.2">
      <c r="A1714" s="10"/>
      <c r="B1714" s="110" t="e">
        <f t="shared" ca="1" si="15"/>
        <v>#NAME?</v>
      </c>
      <c r="C1714" s="113"/>
      <c r="D1714" s="113"/>
      <c r="E1714" s="114"/>
      <c r="J1714" s="115"/>
      <c r="K1714" s="110"/>
      <c r="L1714" s="111"/>
    </row>
    <row r="1715" spans="1:12" ht="14.25" customHeight="1" x14ac:dyDescent="0.2">
      <c r="A1715" s="10"/>
      <c r="B1715" s="110" t="e">
        <f t="shared" ca="1" si="15"/>
        <v>#NAME?</v>
      </c>
      <c r="C1715" s="113"/>
      <c r="D1715" s="113"/>
      <c r="E1715" s="114"/>
      <c r="J1715" s="115"/>
      <c r="K1715" s="110"/>
      <c r="L1715" s="111"/>
    </row>
    <row r="1716" spans="1:12" ht="14.25" customHeight="1" x14ac:dyDescent="0.2">
      <c r="A1716" s="10"/>
      <c r="B1716" s="110" t="e">
        <f t="shared" ca="1" si="15"/>
        <v>#NAME?</v>
      </c>
      <c r="C1716" s="113"/>
      <c r="D1716" s="113"/>
      <c r="E1716" s="114"/>
      <c r="J1716" s="115"/>
      <c r="K1716" s="110"/>
      <c r="L1716" s="111"/>
    </row>
    <row r="1717" spans="1:12" ht="14.25" customHeight="1" x14ac:dyDescent="0.2">
      <c r="A1717" s="10"/>
      <c r="B1717" s="110" t="e">
        <f t="shared" ca="1" si="15"/>
        <v>#NAME?</v>
      </c>
      <c r="C1717" s="113"/>
      <c r="D1717" s="113"/>
      <c r="E1717" s="114"/>
      <c r="J1717" s="115"/>
      <c r="K1717" s="110"/>
      <c r="L1717" s="111"/>
    </row>
    <row r="1718" spans="1:12" ht="14.25" customHeight="1" x14ac:dyDescent="0.2">
      <c r="A1718" s="10"/>
      <c r="B1718" s="110" t="e">
        <f t="shared" ca="1" si="15"/>
        <v>#NAME?</v>
      </c>
      <c r="C1718" s="113"/>
      <c r="D1718" s="113"/>
      <c r="E1718" s="114"/>
      <c r="J1718" s="115"/>
      <c r="K1718" s="110"/>
      <c r="L1718" s="111"/>
    </row>
    <row r="1719" spans="1:12" ht="14.25" customHeight="1" x14ac:dyDescent="0.2">
      <c r="A1719" s="10"/>
      <c r="B1719" s="110" t="e">
        <f t="shared" ca="1" si="15"/>
        <v>#NAME?</v>
      </c>
      <c r="C1719" s="113"/>
      <c r="D1719" s="113"/>
      <c r="E1719" s="114"/>
      <c r="J1719" s="115"/>
      <c r="K1719" s="110"/>
      <c r="L1719" s="111"/>
    </row>
    <row r="1720" spans="1:12" ht="14.25" customHeight="1" x14ac:dyDescent="0.2">
      <c r="A1720" s="10"/>
      <c r="B1720" s="110" t="e">
        <f t="shared" ca="1" si="15"/>
        <v>#NAME?</v>
      </c>
      <c r="C1720" s="113"/>
      <c r="D1720" s="113"/>
      <c r="E1720" s="114"/>
      <c r="J1720" s="115"/>
      <c r="K1720" s="110"/>
      <c r="L1720" s="111"/>
    </row>
    <row r="1721" spans="1:12" ht="14.25" customHeight="1" x14ac:dyDescent="0.2">
      <c r="A1721" s="10"/>
      <c r="B1721" s="110" t="e">
        <f t="shared" ca="1" si="15"/>
        <v>#NAME?</v>
      </c>
      <c r="C1721" s="113"/>
      <c r="D1721" s="113"/>
      <c r="E1721" s="114"/>
      <c r="J1721" s="115"/>
      <c r="K1721" s="110"/>
      <c r="L1721" s="111"/>
    </row>
    <row r="1722" spans="1:12" ht="14.25" customHeight="1" x14ac:dyDescent="0.2">
      <c r="A1722" s="10"/>
      <c r="B1722" s="110" t="e">
        <f t="shared" ca="1" si="15"/>
        <v>#NAME?</v>
      </c>
      <c r="C1722" s="113"/>
      <c r="D1722" s="113"/>
      <c r="E1722" s="114"/>
      <c r="J1722" s="115"/>
      <c r="K1722" s="110"/>
      <c r="L1722" s="111"/>
    </row>
    <row r="1723" spans="1:12" ht="14.25" customHeight="1" x14ac:dyDescent="0.2">
      <c r="A1723" s="10"/>
      <c r="B1723" s="110" t="e">
        <f t="shared" ca="1" si="15"/>
        <v>#NAME?</v>
      </c>
      <c r="C1723" s="113"/>
      <c r="D1723" s="113"/>
      <c r="E1723" s="114"/>
      <c r="J1723" s="115"/>
      <c r="K1723" s="110"/>
      <c r="L1723" s="111"/>
    </row>
    <row r="1724" spans="1:12" ht="14.25" customHeight="1" x14ac:dyDescent="0.2">
      <c r="A1724" s="10"/>
      <c r="B1724" s="110" t="e">
        <f t="shared" ca="1" si="15"/>
        <v>#NAME?</v>
      </c>
      <c r="C1724" s="113"/>
      <c r="D1724" s="113"/>
      <c r="E1724" s="114"/>
      <c r="J1724" s="115"/>
      <c r="K1724" s="110"/>
      <c r="L1724" s="111"/>
    </row>
    <row r="1725" spans="1:12" ht="14.25" customHeight="1" x14ac:dyDescent="0.2">
      <c r="A1725" s="10"/>
      <c r="B1725" s="110" t="e">
        <f t="shared" ca="1" si="15"/>
        <v>#NAME?</v>
      </c>
      <c r="C1725" s="113"/>
      <c r="D1725" s="113"/>
      <c r="E1725" s="114"/>
      <c r="J1725" s="115"/>
      <c r="K1725" s="110"/>
      <c r="L1725" s="111"/>
    </row>
    <row r="1726" spans="1:12" ht="14.25" customHeight="1" x14ac:dyDescent="0.2">
      <c r="A1726" s="10"/>
      <c r="B1726" s="110" t="e">
        <f t="shared" ca="1" si="15"/>
        <v>#NAME?</v>
      </c>
      <c r="C1726" s="113"/>
      <c r="D1726" s="113"/>
      <c r="E1726" s="114"/>
      <c r="J1726" s="115"/>
      <c r="K1726" s="110"/>
      <c r="L1726" s="111"/>
    </row>
    <row r="1727" spans="1:12" ht="14.25" customHeight="1" x14ac:dyDescent="0.2">
      <c r="A1727" s="10"/>
      <c r="B1727" s="110" t="e">
        <f t="shared" ca="1" si="15"/>
        <v>#NAME?</v>
      </c>
      <c r="C1727" s="113"/>
      <c r="D1727" s="113"/>
      <c r="E1727" s="114"/>
      <c r="J1727" s="115"/>
      <c r="K1727" s="110"/>
      <c r="L1727" s="111"/>
    </row>
    <row r="1728" spans="1:12" ht="14.25" customHeight="1" x14ac:dyDescent="0.2">
      <c r="A1728" s="10"/>
      <c r="B1728" s="110" t="e">
        <f t="shared" ca="1" si="15"/>
        <v>#NAME?</v>
      </c>
      <c r="C1728" s="113"/>
      <c r="D1728" s="113"/>
      <c r="E1728" s="114"/>
      <c r="J1728" s="115"/>
      <c r="K1728" s="110"/>
      <c r="L1728" s="111"/>
    </row>
    <row r="1729" spans="1:15" ht="14.25" customHeight="1" x14ac:dyDescent="0.2">
      <c r="A1729" s="10"/>
      <c r="B1729" s="110" t="e">
        <f t="shared" ca="1" si="15"/>
        <v>#NAME?</v>
      </c>
      <c r="C1729" s="113"/>
      <c r="D1729" s="113"/>
      <c r="E1729" s="114"/>
      <c r="J1729" s="115"/>
      <c r="K1729" s="110"/>
      <c r="L1729" s="111"/>
    </row>
    <row r="1730" spans="1:15" ht="14.25" customHeight="1" x14ac:dyDescent="0.2">
      <c r="A1730" s="10"/>
      <c r="B1730" s="110" t="e">
        <f t="shared" ca="1" si="15"/>
        <v>#NAME?</v>
      </c>
      <c r="C1730" s="113"/>
      <c r="D1730" s="113"/>
      <c r="E1730" s="114"/>
      <c r="J1730" s="115"/>
      <c r="K1730" s="110"/>
      <c r="L1730" s="111"/>
    </row>
    <row r="1731" spans="1:15" ht="14.25" customHeight="1" x14ac:dyDescent="0.2">
      <c r="A1731" s="10"/>
      <c r="B1731" s="110" t="e">
        <f t="shared" ca="1" si="15"/>
        <v>#NAME?</v>
      </c>
      <c r="C1731" s="113"/>
      <c r="D1731" s="113"/>
      <c r="E1731" s="114"/>
      <c r="J1731" s="115"/>
      <c r="K1731" s="110"/>
      <c r="L1731" s="111"/>
    </row>
    <row r="1732" spans="1:15" ht="14.25" customHeight="1" x14ac:dyDescent="0.2">
      <c r="A1732" s="10"/>
      <c r="B1732" s="110" t="e">
        <f t="shared" ca="1" si="15"/>
        <v>#NAME?</v>
      </c>
      <c r="C1732" s="113"/>
      <c r="D1732" s="113"/>
      <c r="E1732" s="114"/>
      <c r="J1732" s="115"/>
      <c r="K1732" s="110"/>
      <c r="L1732" s="111"/>
    </row>
    <row r="1733" spans="1:15" ht="14.25" customHeight="1" x14ac:dyDescent="0.2">
      <c r="A1733" s="10"/>
      <c r="B1733" s="110" t="e">
        <f t="shared" ca="1" si="15"/>
        <v>#NAME?</v>
      </c>
      <c r="C1733" s="113"/>
      <c r="D1733" s="113"/>
      <c r="E1733" s="114"/>
      <c r="J1733" s="115"/>
      <c r="K1733" s="110"/>
      <c r="L1733" s="111"/>
    </row>
    <row r="1734" spans="1:15" ht="14.25" customHeight="1" x14ac:dyDescent="0.2">
      <c r="A1734" s="10"/>
      <c r="B1734" s="110" t="e">
        <f t="shared" ca="1" si="15"/>
        <v>#NAME?</v>
      </c>
      <c r="C1734" s="113"/>
      <c r="D1734" s="113"/>
      <c r="E1734" s="114"/>
      <c r="J1734" s="115"/>
      <c r="K1734" s="110"/>
      <c r="L1734" s="111"/>
    </row>
    <row r="1735" spans="1:15" ht="14.25" customHeight="1" x14ac:dyDescent="0.2">
      <c r="A1735" s="10"/>
      <c r="B1735" s="110" t="e">
        <f t="shared" ca="1" si="15"/>
        <v>#NAME?</v>
      </c>
      <c r="C1735" s="113"/>
      <c r="D1735" s="113"/>
      <c r="E1735" s="114"/>
      <c r="J1735" s="115"/>
      <c r="K1735" s="110"/>
      <c r="L1735" s="111"/>
    </row>
    <row r="1736" spans="1:15" ht="14.25" customHeight="1" x14ac:dyDescent="0.2">
      <c r="A1736" s="10"/>
      <c r="B1736" s="110" t="e">
        <f t="shared" ca="1" si="15"/>
        <v>#NAME?</v>
      </c>
      <c r="C1736" s="113"/>
      <c r="D1736" s="113"/>
      <c r="E1736" s="114"/>
      <c r="J1736" s="115"/>
      <c r="K1736" s="110"/>
      <c r="L1736" s="111"/>
    </row>
    <row r="1737" spans="1:15" ht="14.25" customHeight="1" x14ac:dyDescent="0.2">
      <c r="A1737" s="10"/>
      <c r="B1737" s="110" t="e">
        <f t="shared" ca="1" si="15"/>
        <v>#NAME?</v>
      </c>
      <c r="C1737" s="113"/>
      <c r="D1737" s="113"/>
      <c r="E1737" s="114"/>
      <c r="J1737" s="115"/>
      <c r="K1737" s="110"/>
      <c r="L1737" s="111"/>
    </row>
    <row r="1738" spans="1:15" ht="14.25" customHeight="1" x14ac:dyDescent="0.2">
      <c r="A1738" s="10"/>
      <c r="B1738" s="110" t="e">
        <f t="shared" ca="1" si="15"/>
        <v>#NAME?</v>
      </c>
      <c r="C1738" s="113"/>
      <c r="D1738" s="113"/>
      <c r="E1738" s="114"/>
      <c r="J1738" s="115"/>
      <c r="K1738" s="110"/>
      <c r="L1738" s="111"/>
    </row>
    <row r="1739" spans="1:15" ht="14.25" customHeight="1" x14ac:dyDescent="0.2">
      <c r="A1739" s="10"/>
      <c r="B1739" s="110" t="e">
        <f t="shared" ca="1" si="15"/>
        <v>#NAME?</v>
      </c>
      <c r="C1739" s="113"/>
      <c r="D1739" s="113"/>
      <c r="E1739" s="114"/>
      <c r="J1739" s="115"/>
      <c r="K1739" s="110"/>
      <c r="L1739" s="111"/>
      <c r="O1739" s="116"/>
    </row>
    <row r="1740" spans="1:15" ht="14.25" customHeight="1" x14ac:dyDescent="0.2">
      <c r="A1740" s="10"/>
      <c r="B1740" s="110" t="e">
        <f t="shared" ca="1" si="15"/>
        <v>#NAME?</v>
      </c>
      <c r="C1740" s="113"/>
      <c r="D1740" s="113"/>
      <c r="E1740" s="114"/>
      <c r="J1740" s="115"/>
      <c r="K1740" s="110"/>
      <c r="L1740" s="111"/>
    </row>
    <row r="1741" spans="1:15" ht="14.25" customHeight="1" x14ac:dyDescent="0.2">
      <c r="A1741" s="10"/>
      <c r="B1741" s="110" t="e">
        <f t="shared" ca="1" si="15"/>
        <v>#NAME?</v>
      </c>
      <c r="C1741" s="113"/>
      <c r="D1741" s="113"/>
      <c r="E1741" s="114"/>
      <c r="J1741" s="115"/>
      <c r="K1741" s="110"/>
      <c r="L1741" s="111"/>
    </row>
    <row r="1742" spans="1:15" ht="14.25" customHeight="1" x14ac:dyDescent="0.2">
      <c r="A1742" s="10"/>
      <c r="B1742" s="110" t="e">
        <f t="shared" ca="1" si="15"/>
        <v>#NAME?</v>
      </c>
      <c r="C1742" s="113"/>
      <c r="D1742" s="113"/>
      <c r="E1742" s="114"/>
      <c r="J1742" s="115"/>
      <c r="K1742" s="110"/>
      <c r="L1742" s="111"/>
    </row>
    <row r="1743" spans="1:15" ht="14.25" customHeight="1" x14ac:dyDescent="0.2">
      <c r="A1743" s="10"/>
      <c r="B1743" s="110" t="e">
        <f t="shared" ca="1" si="15"/>
        <v>#NAME?</v>
      </c>
      <c r="C1743" s="113"/>
      <c r="D1743" s="113"/>
      <c r="E1743" s="114"/>
      <c r="J1743" s="115"/>
      <c r="K1743" s="110"/>
      <c r="L1743" s="111"/>
    </row>
    <row r="1744" spans="1:15" ht="14.25" customHeight="1" x14ac:dyDescent="0.2">
      <c r="A1744" s="10"/>
      <c r="B1744" s="110" t="e">
        <f t="shared" ca="1" si="15"/>
        <v>#NAME?</v>
      </c>
      <c r="C1744" s="113"/>
      <c r="D1744" s="113"/>
      <c r="E1744" s="114"/>
      <c r="J1744" s="115"/>
      <c r="K1744" s="110"/>
      <c r="L1744" s="111"/>
    </row>
    <row r="1745" spans="1:14" ht="14.25" customHeight="1" x14ac:dyDescent="0.2">
      <c r="A1745" s="10"/>
      <c r="B1745" s="110" t="e">
        <f t="shared" ca="1" si="15"/>
        <v>#NAME?</v>
      </c>
      <c r="C1745" s="113"/>
      <c r="D1745" s="113"/>
      <c r="E1745" s="114"/>
      <c r="J1745" s="115"/>
      <c r="K1745" s="110"/>
      <c r="L1745" s="111"/>
    </row>
    <row r="1746" spans="1:14" ht="14.25" customHeight="1" x14ac:dyDescent="0.2">
      <c r="A1746" s="10"/>
      <c r="B1746" s="110" t="e">
        <f t="shared" ca="1" si="15"/>
        <v>#NAME?</v>
      </c>
      <c r="C1746" s="113"/>
      <c r="D1746" s="113"/>
      <c r="E1746" s="114"/>
      <c r="J1746" s="115"/>
      <c r="K1746" s="110"/>
      <c r="L1746" s="111"/>
    </row>
    <row r="1747" spans="1:14" ht="14.25" customHeight="1" x14ac:dyDescent="0.2">
      <c r="A1747" s="10"/>
      <c r="B1747" s="110" t="e">
        <f t="shared" ca="1" si="15"/>
        <v>#NAME?</v>
      </c>
      <c r="C1747" s="113"/>
      <c r="D1747" s="113"/>
      <c r="E1747" s="114"/>
      <c r="J1747" s="115"/>
      <c r="K1747" s="110"/>
      <c r="L1747" s="111"/>
    </row>
    <row r="1748" spans="1:14" ht="14.25" customHeight="1" x14ac:dyDescent="0.2">
      <c r="A1748" s="10"/>
      <c r="B1748" s="110" t="e">
        <f t="shared" ca="1" si="15"/>
        <v>#NAME?</v>
      </c>
      <c r="C1748" s="113"/>
      <c r="D1748" s="113"/>
      <c r="E1748" s="114"/>
      <c r="J1748" s="115"/>
      <c r="K1748" s="110"/>
      <c r="L1748" s="111"/>
    </row>
    <row r="1749" spans="1:14" ht="14.25" customHeight="1" x14ac:dyDescent="0.2">
      <c r="A1749" s="10"/>
      <c r="B1749" s="110" t="e">
        <f t="shared" ca="1" si="15"/>
        <v>#NAME?</v>
      </c>
      <c r="C1749" s="113"/>
      <c r="D1749" s="113"/>
      <c r="E1749" s="114"/>
      <c r="J1749" s="115"/>
      <c r="K1749" s="110"/>
      <c r="L1749" s="111"/>
    </row>
    <row r="1750" spans="1:14" ht="14.25" customHeight="1" x14ac:dyDescent="0.2">
      <c r="A1750" s="10"/>
      <c r="B1750" s="110" t="e">
        <f t="shared" ca="1" si="15"/>
        <v>#NAME?</v>
      </c>
      <c r="C1750" s="113"/>
      <c r="D1750" s="113"/>
      <c r="E1750" s="114"/>
      <c r="J1750" s="115"/>
      <c r="K1750" s="110"/>
      <c r="L1750" s="111"/>
    </row>
    <row r="1751" spans="1:14" ht="14.25" customHeight="1" x14ac:dyDescent="0.2">
      <c r="A1751" s="10"/>
      <c r="B1751" s="110" t="e">
        <f t="shared" ca="1" si="15"/>
        <v>#NAME?</v>
      </c>
      <c r="C1751" s="113"/>
      <c r="D1751" s="113"/>
      <c r="E1751" s="114"/>
      <c r="J1751" s="115"/>
      <c r="K1751" s="110"/>
      <c r="L1751" s="111"/>
    </row>
    <row r="1752" spans="1:14" ht="14.25" customHeight="1" x14ac:dyDescent="0.2">
      <c r="A1752" s="10"/>
      <c r="B1752" s="110" t="e">
        <f t="shared" ca="1" si="15"/>
        <v>#NAME?</v>
      </c>
      <c r="C1752" s="113"/>
      <c r="D1752" s="113"/>
      <c r="E1752" s="114"/>
      <c r="J1752" s="115"/>
      <c r="K1752" s="110"/>
      <c r="L1752" s="111"/>
    </row>
    <row r="1753" spans="1:14" ht="14.25" customHeight="1" x14ac:dyDescent="0.2">
      <c r="A1753" s="10"/>
      <c r="B1753" s="110" t="e">
        <f t="shared" ca="1" si="15"/>
        <v>#NAME?</v>
      </c>
      <c r="C1753" s="113"/>
      <c r="D1753" s="113"/>
      <c r="E1753" s="114"/>
      <c r="J1753" s="115"/>
      <c r="K1753" s="110"/>
      <c r="L1753" s="111"/>
    </row>
    <row r="1754" spans="1:14" ht="14.25" customHeight="1" x14ac:dyDescent="0.2">
      <c r="A1754" s="10"/>
      <c r="B1754" s="110" t="e">
        <f t="shared" ca="1" si="15"/>
        <v>#NAME?</v>
      </c>
      <c r="C1754" s="113"/>
      <c r="D1754" s="113"/>
      <c r="E1754" s="114"/>
      <c r="J1754" s="115"/>
      <c r="K1754" s="110"/>
      <c r="L1754" s="111"/>
      <c r="N1754" s="116"/>
    </row>
    <row r="1755" spans="1:14" ht="14.25" customHeight="1" x14ac:dyDescent="0.2">
      <c r="A1755" s="10"/>
      <c r="B1755" s="110" t="e">
        <f t="shared" ca="1" si="15"/>
        <v>#NAME?</v>
      </c>
      <c r="C1755" s="113"/>
      <c r="D1755" s="113"/>
      <c r="E1755" s="114"/>
      <c r="J1755" s="115"/>
      <c r="K1755" s="110"/>
      <c r="L1755" s="111"/>
    </row>
    <row r="1756" spans="1:14" ht="14.25" customHeight="1" x14ac:dyDescent="0.2">
      <c r="A1756" s="10"/>
      <c r="B1756" s="110" t="e">
        <f t="shared" ca="1" si="15"/>
        <v>#NAME?</v>
      </c>
      <c r="C1756" s="113"/>
      <c r="D1756" s="113"/>
      <c r="E1756" s="114"/>
      <c r="J1756" s="115"/>
      <c r="K1756" s="110"/>
      <c r="L1756" s="111"/>
    </row>
    <row r="1757" spans="1:14" ht="14.25" customHeight="1" x14ac:dyDescent="0.2">
      <c r="A1757" s="10"/>
      <c r="B1757" s="110" t="e">
        <f t="shared" ca="1" si="15"/>
        <v>#NAME?</v>
      </c>
      <c r="C1757" s="113"/>
      <c r="D1757" s="113"/>
      <c r="E1757" s="114"/>
      <c r="J1757" s="115"/>
      <c r="K1757" s="110"/>
      <c r="L1757" s="111"/>
    </row>
    <row r="1758" spans="1:14" ht="14.25" customHeight="1" x14ac:dyDescent="0.2">
      <c r="A1758" s="10"/>
      <c r="B1758" s="110" t="e">
        <f t="shared" ca="1" si="15"/>
        <v>#NAME?</v>
      </c>
      <c r="C1758" s="113"/>
      <c r="D1758" s="113"/>
      <c r="E1758" s="114"/>
      <c r="J1758" s="115"/>
      <c r="K1758" s="110"/>
      <c r="L1758" s="111"/>
    </row>
    <row r="1759" spans="1:14" ht="14.25" customHeight="1" x14ac:dyDescent="0.2">
      <c r="A1759" s="10"/>
      <c r="B1759" s="110" t="e">
        <f t="shared" ca="1" si="15"/>
        <v>#NAME?</v>
      </c>
      <c r="C1759" s="113"/>
      <c r="D1759" s="113"/>
      <c r="E1759" s="114"/>
      <c r="J1759" s="115"/>
      <c r="K1759" s="110"/>
      <c r="L1759" s="111"/>
      <c r="M1759" s="116"/>
    </row>
    <row r="1760" spans="1:14" ht="14.25" customHeight="1" x14ac:dyDescent="0.2">
      <c r="A1760" s="10"/>
      <c r="B1760" s="110" t="e">
        <f t="shared" ca="1" si="15"/>
        <v>#NAME?</v>
      </c>
      <c r="C1760" s="113"/>
      <c r="D1760" s="113"/>
      <c r="E1760" s="114"/>
      <c r="J1760" s="115"/>
      <c r="K1760" s="110"/>
      <c r="L1760" s="111"/>
    </row>
    <row r="1761" spans="1:14" ht="14.25" customHeight="1" x14ac:dyDescent="0.2">
      <c r="A1761" s="10"/>
      <c r="B1761" s="110" t="e">
        <f t="shared" ca="1" si="15"/>
        <v>#NAME?</v>
      </c>
      <c r="C1761" s="113"/>
      <c r="D1761" s="113"/>
      <c r="E1761" s="114"/>
      <c r="J1761" s="115"/>
      <c r="K1761" s="110"/>
      <c r="L1761" s="111"/>
    </row>
    <row r="1762" spans="1:14" ht="14.25" customHeight="1" x14ac:dyDescent="0.2">
      <c r="A1762" s="10"/>
      <c r="B1762" s="110" t="e">
        <f t="shared" ca="1" si="15"/>
        <v>#NAME?</v>
      </c>
      <c r="C1762" s="113"/>
      <c r="D1762" s="113"/>
      <c r="E1762" s="114"/>
      <c r="J1762" s="115"/>
      <c r="K1762" s="110"/>
      <c r="L1762" s="111"/>
    </row>
    <row r="1763" spans="1:14" ht="14.25" customHeight="1" x14ac:dyDescent="0.2">
      <c r="A1763" s="10"/>
      <c r="B1763" s="110" t="e">
        <f t="shared" ca="1" si="15"/>
        <v>#NAME?</v>
      </c>
      <c r="C1763" s="113"/>
      <c r="D1763" s="113"/>
      <c r="E1763" s="114"/>
      <c r="J1763" s="115"/>
      <c r="K1763" s="110"/>
      <c r="L1763" s="111"/>
    </row>
    <row r="1764" spans="1:14" ht="14.25" customHeight="1" x14ac:dyDescent="0.2">
      <c r="A1764" s="10"/>
      <c r="B1764" s="110" t="e">
        <f t="shared" ca="1" si="15"/>
        <v>#NAME?</v>
      </c>
      <c r="C1764" s="113"/>
      <c r="D1764" s="113"/>
      <c r="E1764" s="114"/>
      <c r="J1764" s="115"/>
      <c r="K1764" s="110"/>
      <c r="L1764" s="111"/>
    </row>
    <row r="1765" spans="1:14" ht="14.25" customHeight="1" x14ac:dyDescent="0.2">
      <c r="A1765" s="10"/>
      <c r="B1765" s="110" t="e">
        <f t="shared" ca="1" si="15"/>
        <v>#NAME?</v>
      </c>
      <c r="C1765" s="113"/>
      <c r="D1765" s="113"/>
      <c r="E1765" s="114"/>
      <c r="J1765" s="115"/>
      <c r="K1765" s="110"/>
      <c r="L1765" s="111"/>
    </row>
    <row r="1766" spans="1:14" ht="14.25" customHeight="1" x14ac:dyDescent="0.2">
      <c r="A1766" s="10"/>
      <c r="B1766" s="110" t="e">
        <f t="shared" ca="1" si="15"/>
        <v>#NAME?</v>
      </c>
      <c r="C1766" s="113"/>
      <c r="D1766" s="113"/>
      <c r="E1766" s="114"/>
      <c r="J1766" s="115"/>
      <c r="K1766" s="110"/>
      <c r="L1766" s="111"/>
    </row>
    <row r="1767" spans="1:14" ht="14.25" customHeight="1" x14ac:dyDescent="0.2">
      <c r="A1767" s="10"/>
      <c r="B1767" s="110" t="e">
        <f t="shared" ca="1" si="15"/>
        <v>#NAME?</v>
      </c>
      <c r="C1767" s="113"/>
      <c r="D1767" s="113"/>
      <c r="E1767" s="114"/>
      <c r="J1767" s="115"/>
      <c r="K1767" s="110"/>
      <c r="L1767" s="111"/>
    </row>
    <row r="1768" spans="1:14" ht="14.25" customHeight="1" x14ac:dyDescent="0.2">
      <c r="A1768" s="10"/>
      <c r="B1768" s="110" t="e">
        <f t="shared" ca="1" si="15"/>
        <v>#NAME?</v>
      </c>
      <c r="C1768" s="113"/>
      <c r="D1768" s="113"/>
      <c r="E1768" s="114"/>
      <c r="J1768" s="115"/>
      <c r="K1768" s="110"/>
      <c r="L1768" s="111"/>
      <c r="N1768" s="116"/>
    </row>
    <row r="1769" spans="1:14" ht="14.25" customHeight="1" x14ac:dyDescent="0.2">
      <c r="A1769" s="10"/>
      <c r="B1769" s="110" t="e">
        <f t="shared" ca="1" si="15"/>
        <v>#NAME?</v>
      </c>
      <c r="C1769" s="113"/>
      <c r="D1769" s="113"/>
      <c r="E1769" s="114"/>
      <c r="J1769" s="115"/>
      <c r="K1769" s="110"/>
      <c r="L1769" s="111"/>
    </row>
    <row r="1770" spans="1:14" ht="14.25" customHeight="1" x14ac:dyDescent="0.2">
      <c r="A1770" s="10"/>
      <c r="B1770" s="110" t="e">
        <f t="shared" ca="1" si="15"/>
        <v>#NAME?</v>
      </c>
      <c r="C1770" s="113"/>
      <c r="D1770" s="113"/>
      <c r="E1770" s="114"/>
      <c r="J1770" s="115"/>
      <c r="K1770" s="110"/>
      <c r="L1770" s="111"/>
    </row>
    <row r="1771" spans="1:14" ht="14.25" customHeight="1" x14ac:dyDescent="0.2">
      <c r="A1771" s="10"/>
      <c r="B1771" s="110" t="e">
        <f t="shared" ca="1" si="15"/>
        <v>#NAME?</v>
      </c>
      <c r="C1771" s="113"/>
      <c r="D1771" s="113"/>
      <c r="E1771" s="114"/>
      <c r="J1771" s="115"/>
      <c r="K1771" s="110"/>
      <c r="L1771" s="111"/>
    </row>
    <row r="1772" spans="1:14" ht="14.25" customHeight="1" x14ac:dyDescent="0.2">
      <c r="A1772" s="10"/>
      <c r="B1772" s="110" t="e">
        <f t="shared" ca="1" si="15"/>
        <v>#NAME?</v>
      </c>
      <c r="C1772" s="113"/>
      <c r="D1772" s="113"/>
      <c r="E1772" s="114"/>
      <c r="J1772" s="115"/>
      <c r="K1772" s="110"/>
      <c r="L1772" s="111"/>
    </row>
    <row r="1773" spans="1:14" ht="14.25" customHeight="1" x14ac:dyDescent="0.2">
      <c r="A1773" s="10"/>
      <c r="B1773" s="110" t="e">
        <f t="shared" ca="1" si="15"/>
        <v>#NAME?</v>
      </c>
      <c r="C1773" s="113"/>
      <c r="D1773" s="113"/>
      <c r="E1773" s="114"/>
      <c r="J1773" s="115"/>
      <c r="K1773" s="110"/>
      <c r="L1773" s="111"/>
    </row>
    <row r="1774" spans="1:14" ht="14.25" customHeight="1" x14ac:dyDescent="0.2">
      <c r="A1774" s="10"/>
      <c r="B1774" s="110" t="e">
        <f t="shared" ca="1" si="15"/>
        <v>#NAME?</v>
      </c>
      <c r="C1774" s="113"/>
      <c r="D1774" s="113"/>
      <c r="E1774" s="114"/>
      <c r="J1774" s="115"/>
      <c r="K1774" s="110"/>
      <c r="L1774" s="111"/>
    </row>
    <row r="1775" spans="1:14" ht="14.25" customHeight="1" x14ac:dyDescent="0.2">
      <c r="A1775" s="10"/>
      <c r="B1775" s="110" t="e">
        <f t="shared" ca="1" si="15"/>
        <v>#NAME?</v>
      </c>
      <c r="C1775" s="113"/>
      <c r="D1775" s="113"/>
      <c r="E1775" s="114"/>
      <c r="J1775" s="115"/>
      <c r="K1775" s="110"/>
      <c r="L1775" s="111"/>
    </row>
    <row r="1776" spans="1:14" ht="14.25" customHeight="1" x14ac:dyDescent="0.2">
      <c r="A1776" s="10"/>
      <c r="B1776" s="110" t="e">
        <f t="shared" ca="1" si="15"/>
        <v>#NAME?</v>
      </c>
      <c r="C1776" s="113"/>
      <c r="D1776" s="113"/>
      <c r="E1776" s="114"/>
      <c r="J1776" s="115"/>
      <c r="K1776" s="110"/>
      <c r="L1776" s="111"/>
    </row>
    <row r="1777" spans="1:15" ht="14.25" customHeight="1" x14ac:dyDescent="0.2">
      <c r="A1777" s="10"/>
      <c r="B1777" s="110" t="e">
        <f t="shared" ca="1" si="15"/>
        <v>#NAME?</v>
      </c>
      <c r="C1777" s="113"/>
      <c r="D1777" s="113"/>
      <c r="E1777" s="114"/>
      <c r="J1777" s="115"/>
      <c r="K1777" s="110"/>
      <c r="L1777" s="111"/>
    </row>
    <row r="1778" spans="1:15" ht="14.25" customHeight="1" x14ac:dyDescent="0.2">
      <c r="A1778" s="10"/>
      <c r="B1778" s="110" t="e">
        <f t="shared" ca="1" si="15"/>
        <v>#NAME?</v>
      </c>
      <c r="C1778" s="113"/>
      <c r="D1778" s="113"/>
      <c r="E1778" s="114"/>
      <c r="J1778" s="115"/>
      <c r="K1778" s="110"/>
      <c r="L1778" s="111"/>
    </row>
    <row r="1779" spans="1:15" ht="14.25" customHeight="1" x14ac:dyDescent="0.2">
      <c r="A1779" s="10"/>
      <c r="B1779" s="110" t="e">
        <f t="shared" ca="1" si="15"/>
        <v>#NAME?</v>
      </c>
      <c r="C1779" s="113"/>
      <c r="D1779" s="113"/>
      <c r="E1779" s="114"/>
      <c r="J1779" s="115"/>
      <c r="K1779" s="110"/>
      <c r="L1779" s="111"/>
    </row>
    <row r="1780" spans="1:15" ht="14.25" customHeight="1" x14ac:dyDescent="0.2">
      <c r="A1780" s="1"/>
      <c r="B1780" s="110" t="e">
        <f t="shared" ca="1" si="15"/>
        <v>#NAME?</v>
      </c>
      <c r="C1780" s="113"/>
      <c r="D1780" s="113"/>
      <c r="E1780" s="114"/>
      <c r="J1780" s="115"/>
      <c r="K1780" s="110"/>
      <c r="L1780" s="111"/>
    </row>
    <row r="1781" spans="1:15" ht="14.25" customHeight="1" x14ac:dyDescent="0.2">
      <c r="A1781" s="10"/>
      <c r="B1781" s="110" t="e">
        <f t="shared" ca="1" si="15"/>
        <v>#NAME?</v>
      </c>
      <c r="C1781" s="113"/>
      <c r="D1781" s="113"/>
      <c r="E1781" s="114"/>
      <c r="J1781" s="115"/>
      <c r="K1781" s="110"/>
      <c r="L1781" s="111"/>
    </row>
    <row r="1782" spans="1:15" ht="14.25" customHeight="1" x14ac:dyDescent="0.2">
      <c r="A1782" s="10"/>
      <c r="B1782" s="110" t="e">
        <f t="shared" ca="1" si="15"/>
        <v>#NAME?</v>
      </c>
      <c r="C1782" s="113"/>
      <c r="D1782" s="113"/>
      <c r="E1782" s="114"/>
      <c r="J1782" s="115"/>
      <c r="K1782" s="110"/>
      <c r="L1782" s="111"/>
    </row>
    <row r="1783" spans="1:15" ht="14.25" customHeight="1" x14ac:dyDescent="0.2">
      <c r="A1783" s="10"/>
      <c r="B1783" s="110" t="e">
        <f t="shared" ca="1" si="15"/>
        <v>#NAME?</v>
      </c>
      <c r="C1783" s="113"/>
      <c r="D1783" s="113"/>
      <c r="E1783" s="114"/>
      <c r="J1783" s="115"/>
      <c r="K1783" s="110"/>
      <c r="L1783" s="111"/>
    </row>
    <row r="1784" spans="1:15" ht="14.25" customHeight="1" x14ac:dyDescent="0.2">
      <c r="A1784" s="10"/>
      <c r="B1784" s="110" t="e">
        <f t="shared" ca="1" si="15"/>
        <v>#NAME?</v>
      </c>
      <c r="C1784" s="113"/>
      <c r="D1784" s="113"/>
      <c r="E1784" s="114"/>
      <c r="J1784" s="115"/>
      <c r="K1784" s="110"/>
      <c r="L1784" s="111"/>
    </row>
    <row r="1785" spans="1:15" ht="14.25" customHeight="1" x14ac:dyDescent="0.2">
      <c r="A1785" s="10"/>
      <c r="B1785" s="110" t="e">
        <f t="shared" ca="1" si="15"/>
        <v>#NAME?</v>
      </c>
      <c r="C1785" s="113"/>
      <c r="D1785" s="113"/>
      <c r="E1785" s="114"/>
      <c r="J1785" s="115"/>
      <c r="K1785" s="110"/>
      <c r="L1785" s="111"/>
    </row>
    <row r="1786" spans="1:15" ht="14.25" customHeight="1" x14ac:dyDescent="0.2">
      <c r="A1786" s="10"/>
      <c r="B1786" s="110" t="e">
        <f t="shared" ca="1" si="15"/>
        <v>#NAME?</v>
      </c>
      <c r="C1786" s="113"/>
      <c r="D1786" s="113"/>
      <c r="E1786" s="114"/>
      <c r="J1786" s="115"/>
      <c r="K1786" s="110"/>
      <c r="L1786" s="111"/>
      <c r="O1786" s="116"/>
    </row>
    <row r="1787" spans="1:15" ht="14.25" customHeight="1" x14ac:dyDescent="0.2">
      <c r="A1787" s="10"/>
      <c r="B1787" s="110" t="e">
        <f t="shared" ca="1" si="15"/>
        <v>#NAME?</v>
      </c>
      <c r="C1787" s="113"/>
      <c r="D1787" s="113"/>
      <c r="E1787" s="114"/>
      <c r="J1787" s="115"/>
      <c r="K1787" s="110"/>
      <c r="L1787" s="111"/>
    </row>
    <row r="1788" spans="1:15" ht="14.25" customHeight="1" x14ac:dyDescent="0.2">
      <c r="A1788" s="10"/>
      <c r="B1788" s="110" t="e">
        <f t="shared" ca="1" si="15"/>
        <v>#NAME?</v>
      </c>
      <c r="C1788" s="113"/>
      <c r="D1788" s="113"/>
      <c r="E1788" s="114"/>
      <c r="J1788" s="115"/>
      <c r="K1788" s="110"/>
      <c r="L1788" s="111"/>
    </row>
    <row r="1789" spans="1:15" ht="14.25" customHeight="1" x14ac:dyDescent="0.2">
      <c r="A1789" s="10"/>
      <c r="B1789" s="110" t="e">
        <f t="shared" ca="1" si="15"/>
        <v>#NAME?</v>
      </c>
      <c r="C1789" s="113"/>
      <c r="D1789" s="113"/>
      <c r="E1789" s="114"/>
      <c r="J1789" s="115"/>
      <c r="K1789" s="110"/>
      <c r="L1789" s="111"/>
    </row>
    <row r="1790" spans="1:15" ht="14.25" customHeight="1" x14ac:dyDescent="0.2">
      <c r="A1790" s="10"/>
      <c r="B1790" s="110" t="e">
        <f t="shared" ca="1" si="15"/>
        <v>#NAME?</v>
      </c>
      <c r="C1790" s="113"/>
      <c r="D1790" s="113"/>
      <c r="E1790" s="114"/>
      <c r="J1790" s="115"/>
      <c r="K1790" s="110"/>
      <c r="L1790" s="111"/>
    </row>
    <row r="1791" spans="1:15" ht="14.25" customHeight="1" x14ac:dyDescent="0.2">
      <c r="A1791" s="10"/>
      <c r="B1791" s="110" t="e">
        <f t="shared" ca="1" si="15"/>
        <v>#NAME?</v>
      </c>
      <c r="C1791" s="113"/>
      <c r="D1791" s="113"/>
      <c r="E1791" s="114"/>
      <c r="J1791" s="115"/>
      <c r="K1791" s="110"/>
      <c r="L1791" s="111"/>
    </row>
    <row r="1792" spans="1:15" ht="14.25" customHeight="1" x14ac:dyDescent="0.2">
      <c r="A1792" s="10"/>
      <c r="B1792" s="110" t="e">
        <f t="shared" ca="1" si="15"/>
        <v>#NAME?</v>
      </c>
      <c r="C1792" s="113"/>
      <c r="D1792" s="113"/>
      <c r="E1792" s="114"/>
      <c r="J1792" s="115"/>
      <c r="K1792" s="110"/>
      <c r="L1792" s="111"/>
    </row>
    <row r="1793" spans="1:16" ht="14.25" customHeight="1" x14ac:dyDescent="0.2">
      <c r="A1793" s="10"/>
      <c r="B1793" s="110" t="e">
        <f t="shared" ca="1" si="15"/>
        <v>#NAME?</v>
      </c>
      <c r="C1793" s="113"/>
      <c r="D1793" s="113"/>
      <c r="E1793" s="114"/>
      <c r="J1793" s="115"/>
      <c r="K1793" s="110"/>
      <c r="L1793" s="111"/>
    </row>
    <row r="1794" spans="1:16" ht="14.25" customHeight="1" x14ac:dyDescent="0.2">
      <c r="A1794" s="10"/>
      <c r="B1794" s="110" t="e">
        <f t="shared" ca="1" si="15"/>
        <v>#NAME?</v>
      </c>
      <c r="C1794" s="113"/>
      <c r="D1794" s="113"/>
      <c r="E1794" s="114"/>
      <c r="J1794" s="115"/>
      <c r="K1794" s="110"/>
      <c r="L1794" s="111"/>
      <c r="N1794" s="116"/>
    </row>
    <row r="1795" spans="1:16" ht="14.25" customHeight="1" x14ac:dyDescent="0.2">
      <c r="A1795" s="10"/>
      <c r="B1795" s="110" t="e">
        <f t="shared" ca="1" si="15"/>
        <v>#NAME?</v>
      </c>
      <c r="C1795" s="113"/>
      <c r="D1795" s="113"/>
      <c r="E1795" s="114"/>
      <c r="J1795" s="115"/>
      <c r="K1795" s="110"/>
      <c r="L1795" s="111"/>
    </row>
    <row r="1796" spans="1:16" ht="14.25" customHeight="1" x14ac:dyDescent="0.2">
      <c r="A1796" s="10"/>
      <c r="B1796" s="110" t="e">
        <f t="shared" ca="1" si="15"/>
        <v>#NAME?</v>
      </c>
      <c r="C1796" s="113"/>
      <c r="D1796" s="113"/>
      <c r="E1796" s="114"/>
      <c r="J1796" s="115"/>
      <c r="K1796" s="110"/>
      <c r="L1796" s="111"/>
      <c r="P1796" s="116"/>
    </row>
    <row r="1797" spans="1:16" ht="14.25" customHeight="1" x14ac:dyDescent="0.2">
      <c r="A1797" s="10"/>
      <c r="B1797" s="110" t="e">
        <f t="shared" ca="1" si="15"/>
        <v>#NAME?</v>
      </c>
      <c r="C1797" s="113"/>
      <c r="D1797" s="113"/>
      <c r="E1797" s="114"/>
      <c r="J1797" s="115"/>
      <c r="K1797" s="110"/>
      <c r="L1797" s="111"/>
      <c r="P1797" s="116"/>
    </row>
    <row r="1798" spans="1:16" ht="14.25" customHeight="1" x14ac:dyDescent="0.2">
      <c r="A1798" s="10"/>
      <c r="B1798" s="110" t="e">
        <f t="shared" ca="1" si="15"/>
        <v>#NAME?</v>
      </c>
      <c r="C1798" s="113"/>
      <c r="D1798" s="113"/>
      <c r="E1798" s="114"/>
      <c r="J1798" s="115"/>
      <c r="K1798" s="110"/>
      <c r="L1798" s="111"/>
      <c r="P1798" s="116"/>
    </row>
    <row r="1799" spans="1:16" ht="14.25" customHeight="1" x14ac:dyDescent="0.2">
      <c r="A1799" s="10"/>
      <c r="B1799" s="110" t="e">
        <f t="shared" ca="1" si="15"/>
        <v>#NAME?</v>
      </c>
      <c r="C1799" s="113"/>
      <c r="D1799" s="113"/>
      <c r="E1799" s="114"/>
      <c r="J1799" s="115"/>
      <c r="K1799" s="110"/>
      <c r="L1799" s="111"/>
      <c r="P1799" s="116"/>
    </row>
    <row r="1800" spans="1:16" ht="14.25" customHeight="1" x14ac:dyDescent="0.2">
      <c r="A1800" s="10"/>
      <c r="B1800" s="110" t="e">
        <f t="shared" ca="1" si="15"/>
        <v>#NAME?</v>
      </c>
      <c r="C1800" s="113"/>
      <c r="D1800" s="113"/>
      <c r="E1800" s="114"/>
      <c r="J1800" s="115"/>
      <c r="K1800" s="110"/>
      <c r="L1800" s="111"/>
      <c r="P1800" s="116"/>
    </row>
    <row r="1801" spans="1:16" ht="14.25" customHeight="1" x14ac:dyDescent="0.2">
      <c r="A1801" s="10"/>
      <c r="B1801" s="110" t="e">
        <f t="shared" ca="1" si="15"/>
        <v>#NAME?</v>
      </c>
      <c r="C1801" s="113"/>
      <c r="D1801" s="113"/>
      <c r="E1801" s="114"/>
      <c r="J1801" s="115"/>
      <c r="K1801" s="110"/>
      <c r="L1801" s="111"/>
      <c r="P1801" s="116"/>
    </row>
    <row r="1802" spans="1:16" ht="14.25" customHeight="1" x14ac:dyDescent="0.2">
      <c r="A1802" s="10"/>
      <c r="B1802" s="110" t="e">
        <f t="shared" ca="1" si="15"/>
        <v>#NAME?</v>
      </c>
      <c r="C1802" s="113"/>
      <c r="D1802" s="113"/>
      <c r="E1802" s="114"/>
      <c r="J1802" s="115"/>
      <c r="K1802" s="110"/>
      <c r="L1802" s="111"/>
      <c r="P1802" s="116"/>
    </row>
    <row r="1803" spans="1:16" ht="14.25" customHeight="1" x14ac:dyDescent="0.2">
      <c r="A1803" s="10"/>
      <c r="B1803" s="110" t="e">
        <f t="shared" ca="1" si="15"/>
        <v>#NAME?</v>
      </c>
      <c r="C1803" s="113"/>
      <c r="D1803" s="113"/>
      <c r="E1803" s="114"/>
      <c r="J1803" s="115"/>
      <c r="K1803" s="110"/>
      <c r="L1803" s="111"/>
      <c r="P1803" s="116"/>
    </row>
    <row r="1804" spans="1:16" ht="14.25" customHeight="1" x14ac:dyDescent="0.2">
      <c r="A1804" s="10"/>
      <c r="B1804" s="110" t="e">
        <f t="shared" ca="1" si="15"/>
        <v>#NAME?</v>
      </c>
      <c r="C1804" s="113"/>
      <c r="D1804" s="113"/>
      <c r="E1804" s="114"/>
      <c r="J1804" s="115"/>
      <c r="K1804" s="110"/>
      <c r="L1804" s="111"/>
      <c r="P1804" s="116"/>
    </row>
    <row r="1805" spans="1:16" ht="14.25" customHeight="1" x14ac:dyDescent="0.2">
      <c r="A1805" s="10"/>
      <c r="B1805" s="110" t="e">
        <f t="shared" ca="1" si="15"/>
        <v>#NAME?</v>
      </c>
      <c r="C1805" s="113"/>
      <c r="D1805" s="113"/>
      <c r="E1805" s="114"/>
      <c r="J1805" s="115"/>
      <c r="K1805" s="110"/>
      <c r="L1805" s="111"/>
      <c r="P1805" s="116"/>
    </row>
    <row r="1806" spans="1:16" ht="14.25" customHeight="1" x14ac:dyDescent="0.2">
      <c r="A1806" s="10"/>
      <c r="B1806" s="110" t="e">
        <f t="shared" ca="1" si="15"/>
        <v>#NAME?</v>
      </c>
      <c r="C1806" s="113"/>
      <c r="D1806" s="113"/>
      <c r="E1806" s="114"/>
      <c r="J1806" s="115"/>
      <c r="K1806" s="110"/>
      <c r="L1806" s="111"/>
      <c r="P1806" s="116"/>
    </row>
    <row r="1807" spans="1:16" ht="14.25" customHeight="1" x14ac:dyDescent="0.2">
      <c r="A1807" s="10"/>
      <c r="B1807" s="110" t="e">
        <f t="shared" ca="1" si="15"/>
        <v>#NAME?</v>
      </c>
      <c r="C1807" s="113"/>
      <c r="D1807" s="113"/>
      <c r="E1807" s="114"/>
      <c r="J1807" s="115"/>
      <c r="K1807" s="110"/>
      <c r="L1807" s="111"/>
      <c r="P1807" s="116"/>
    </row>
    <row r="1808" spans="1:16" ht="14.25" customHeight="1" x14ac:dyDescent="0.2">
      <c r="A1808" s="10"/>
      <c r="B1808" s="110" t="e">
        <f t="shared" ca="1" si="15"/>
        <v>#NAME?</v>
      </c>
      <c r="C1808" s="113"/>
      <c r="D1808" s="113"/>
      <c r="E1808" s="114"/>
      <c r="J1808" s="115"/>
      <c r="K1808" s="110"/>
      <c r="L1808" s="111"/>
    </row>
    <row r="1809" spans="1:15" ht="14.25" customHeight="1" x14ac:dyDescent="0.2">
      <c r="A1809" s="10"/>
      <c r="B1809" s="110" t="e">
        <f t="shared" ca="1" si="15"/>
        <v>#NAME?</v>
      </c>
      <c r="C1809" s="113"/>
      <c r="D1809" s="113"/>
      <c r="E1809" s="114"/>
      <c r="J1809" s="115"/>
      <c r="K1809" s="110"/>
      <c r="L1809" s="111"/>
    </row>
    <row r="1810" spans="1:15" ht="14.25" customHeight="1" x14ac:dyDescent="0.2">
      <c r="A1810" s="10"/>
      <c r="B1810" s="110" t="e">
        <f t="shared" ca="1" si="15"/>
        <v>#NAME?</v>
      </c>
      <c r="C1810" s="113"/>
      <c r="D1810" s="113"/>
      <c r="E1810" s="114"/>
      <c r="J1810" s="115"/>
      <c r="K1810" s="110"/>
      <c r="L1810" s="111"/>
    </row>
    <row r="1811" spans="1:15" ht="14.25" customHeight="1" x14ac:dyDescent="0.2">
      <c r="A1811" s="10"/>
      <c r="B1811" s="110" t="e">
        <f t="shared" ca="1" si="15"/>
        <v>#NAME?</v>
      </c>
      <c r="C1811" s="113"/>
      <c r="D1811" s="113"/>
      <c r="E1811" s="114"/>
      <c r="J1811" s="115"/>
      <c r="K1811" s="110"/>
      <c r="L1811" s="111"/>
    </row>
    <row r="1812" spans="1:15" ht="14.25" customHeight="1" x14ac:dyDescent="0.2">
      <c r="A1812" s="10"/>
      <c r="B1812" s="110" t="e">
        <f t="shared" ca="1" si="15"/>
        <v>#NAME?</v>
      </c>
      <c r="C1812" s="113"/>
      <c r="D1812" s="113"/>
      <c r="E1812" s="114"/>
      <c r="J1812" s="115"/>
      <c r="K1812" s="110"/>
      <c r="L1812" s="111"/>
    </row>
    <row r="1813" spans="1:15" ht="14.25" customHeight="1" x14ac:dyDescent="0.2">
      <c r="A1813" s="10"/>
      <c r="B1813" s="110" t="e">
        <f t="shared" ca="1" si="15"/>
        <v>#NAME?</v>
      </c>
      <c r="C1813" s="113"/>
      <c r="D1813" s="113"/>
      <c r="E1813" s="114"/>
      <c r="J1813" s="115"/>
      <c r="K1813" s="110"/>
      <c r="L1813" s="111"/>
    </row>
    <row r="1814" spans="1:15" ht="14.25" customHeight="1" x14ac:dyDescent="0.2">
      <c r="A1814" s="10"/>
      <c r="B1814" s="110" t="e">
        <f t="shared" ca="1" si="15"/>
        <v>#NAME?</v>
      </c>
      <c r="C1814" s="113"/>
      <c r="D1814" s="113"/>
      <c r="E1814" s="114"/>
      <c r="J1814" s="115"/>
      <c r="K1814" s="110"/>
      <c r="L1814" s="111"/>
    </row>
    <row r="1815" spans="1:15" ht="14.25" customHeight="1" x14ac:dyDescent="0.2">
      <c r="A1815" s="10"/>
      <c r="B1815" s="110" t="e">
        <f t="shared" ca="1" si="15"/>
        <v>#NAME?</v>
      </c>
      <c r="C1815" s="113"/>
      <c r="D1815" s="113"/>
      <c r="E1815" s="114"/>
      <c r="J1815" s="115"/>
      <c r="K1815" s="110"/>
      <c r="L1815" s="111"/>
      <c r="O1815" s="116"/>
    </row>
    <row r="1816" spans="1:15" ht="14.25" customHeight="1" x14ac:dyDescent="0.2">
      <c r="A1816" s="10"/>
      <c r="B1816" s="110" t="e">
        <f t="shared" ca="1" si="15"/>
        <v>#NAME?</v>
      </c>
      <c r="C1816" s="113"/>
      <c r="D1816" s="113"/>
      <c r="E1816" s="114"/>
      <c r="J1816" s="115"/>
      <c r="K1816" s="110"/>
      <c r="L1816" s="111"/>
    </row>
    <row r="1817" spans="1:15" ht="14.25" customHeight="1" x14ac:dyDescent="0.2">
      <c r="A1817" s="10"/>
      <c r="B1817" s="110" t="e">
        <f t="shared" ca="1" si="15"/>
        <v>#NAME?</v>
      </c>
      <c r="C1817" s="113"/>
      <c r="D1817" s="113"/>
      <c r="E1817" s="114"/>
      <c r="J1817" s="115"/>
      <c r="K1817" s="110"/>
      <c r="L1817" s="111"/>
      <c r="N1817" s="116"/>
    </row>
    <row r="1818" spans="1:15" ht="14.25" customHeight="1" x14ac:dyDescent="0.2">
      <c r="A1818" s="10"/>
      <c r="B1818" s="110" t="e">
        <f t="shared" ca="1" si="15"/>
        <v>#NAME?</v>
      </c>
      <c r="C1818" s="113"/>
      <c r="D1818" s="113"/>
      <c r="E1818" s="114"/>
      <c r="J1818" s="115"/>
      <c r="K1818" s="110"/>
      <c r="L1818" s="111"/>
    </row>
    <row r="1819" spans="1:15" ht="14.25" customHeight="1" x14ac:dyDescent="0.2">
      <c r="A1819" s="10"/>
      <c r="B1819" s="110" t="e">
        <f t="shared" ca="1" si="15"/>
        <v>#NAME?</v>
      </c>
      <c r="C1819" s="113"/>
      <c r="D1819" s="113"/>
      <c r="E1819" s="114"/>
      <c r="J1819" s="115"/>
      <c r="K1819" s="110"/>
      <c r="L1819" s="111"/>
    </row>
    <row r="1820" spans="1:15" ht="14.25" customHeight="1" x14ac:dyDescent="0.2">
      <c r="A1820" s="10"/>
      <c r="B1820" s="110" t="e">
        <f t="shared" ca="1" si="15"/>
        <v>#NAME?</v>
      </c>
      <c r="C1820" s="113"/>
      <c r="D1820" s="113"/>
      <c r="E1820" s="114"/>
      <c r="J1820" s="115"/>
      <c r="K1820" s="110"/>
      <c r="L1820" s="111"/>
    </row>
    <row r="1821" spans="1:15" ht="14.25" customHeight="1" x14ac:dyDescent="0.2">
      <c r="A1821" s="10"/>
      <c r="B1821" s="110" t="e">
        <f t="shared" ca="1" si="15"/>
        <v>#NAME?</v>
      </c>
      <c r="C1821" s="113"/>
      <c r="D1821" s="113"/>
      <c r="E1821" s="114"/>
      <c r="J1821" s="115"/>
      <c r="K1821" s="110"/>
      <c r="L1821" s="111"/>
    </row>
    <row r="1822" spans="1:15" ht="14.25" customHeight="1" x14ac:dyDescent="0.2">
      <c r="A1822" s="10"/>
      <c r="B1822" s="110" t="e">
        <f t="shared" ca="1" si="15"/>
        <v>#NAME?</v>
      </c>
      <c r="C1822" s="113"/>
      <c r="D1822" s="113"/>
      <c r="E1822" s="114"/>
      <c r="J1822" s="115"/>
      <c r="K1822" s="110"/>
      <c r="L1822" s="111"/>
    </row>
    <row r="1823" spans="1:15" ht="14.25" customHeight="1" x14ac:dyDescent="0.2">
      <c r="A1823" s="10"/>
      <c r="B1823" s="110" t="e">
        <f t="shared" ca="1" si="15"/>
        <v>#NAME?</v>
      </c>
      <c r="C1823" s="113"/>
      <c r="D1823" s="113"/>
      <c r="E1823" s="114"/>
      <c r="J1823" s="115"/>
      <c r="K1823" s="110"/>
      <c r="L1823" s="111"/>
      <c r="N1823" s="116"/>
    </row>
    <row r="1824" spans="1:15" ht="14.25" customHeight="1" x14ac:dyDescent="0.2">
      <c r="A1824" s="10"/>
      <c r="B1824" s="110" t="e">
        <f t="shared" ca="1" si="15"/>
        <v>#NAME?</v>
      </c>
      <c r="C1824" s="113"/>
      <c r="D1824" s="113"/>
      <c r="E1824" s="114"/>
      <c r="J1824" s="115"/>
      <c r="K1824" s="110"/>
      <c r="L1824" s="111"/>
    </row>
    <row r="1825" spans="1:12" ht="14.25" customHeight="1" x14ac:dyDescent="0.2">
      <c r="A1825" s="10"/>
      <c r="B1825" s="110" t="e">
        <f t="shared" ca="1" si="15"/>
        <v>#NAME?</v>
      </c>
      <c r="C1825" s="113"/>
      <c r="D1825" s="113"/>
      <c r="E1825" s="114"/>
      <c r="J1825" s="115"/>
      <c r="K1825" s="110"/>
      <c r="L1825" s="111"/>
    </row>
    <row r="1826" spans="1:12" ht="14.25" customHeight="1" x14ac:dyDescent="0.2">
      <c r="A1826" s="10"/>
      <c r="B1826" s="110" t="e">
        <f t="shared" ca="1" si="15"/>
        <v>#NAME?</v>
      </c>
      <c r="C1826" s="113"/>
      <c r="D1826" s="113"/>
      <c r="E1826" s="114"/>
      <c r="J1826" s="115"/>
      <c r="K1826" s="110"/>
      <c r="L1826" s="111"/>
    </row>
    <row r="1827" spans="1:12" ht="14.25" customHeight="1" x14ac:dyDescent="0.2">
      <c r="A1827" s="10"/>
      <c r="B1827" s="110" t="e">
        <f t="shared" ca="1" si="15"/>
        <v>#NAME?</v>
      </c>
      <c r="C1827" s="113"/>
      <c r="D1827" s="113"/>
      <c r="E1827" s="114"/>
      <c r="J1827" s="115"/>
      <c r="K1827" s="110"/>
      <c r="L1827" s="111"/>
    </row>
    <row r="1828" spans="1:12" ht="14.25" customHeight="1" x14ac:dyDescent="0.2">
      <c r="A1828" s="10"/>
      <c r="B1828" s="110" t="e">
        <f t="shared" ca="1" si="15"/>
        <v>#NAME?</v>
      </c>
      <c r="C1828" s="113"/>
      <c r="D1828" s="113"/>
      <c r="E1828" s="114"/>
      <c r="J1828" s="115"/>
      <c r="K1828" s="110"/>
      <c r="L1828" s="111"/>
    </row>
    <row r="1829" spans="1:12" ht="14.25" customHeight="1" x14ac:dyDescent="0.2">
      <c r="A1829" s="10"/>
      <c r="B1829" s="110" t="e">
        <f t="shared" ca="1" si="15"/>
        <v>#NAME?</v>
      </c>
      <c r="C1829" s="113"/>
      <c r="D1829" s="113"/>
      <c r="E1829" s="114"/>
      <c r="J1829" s="115"/>
      <c r="K1829" s="110"/>
      <c r="L1829" s="111"/>
    </row>
    <row r="1830" spans="1:12" ht="14.25" customHeight="1" x14ac:dyDescent="0.2">
      <c r="A1830" s="10"/>
      <c r="B1830" s="110" t="e">
        <f t="shared" ca="1" si="15"/>
        <v>#NAME?</v>
      </c>
      <c r="C1830" s="113"/>
      <c r="D1830" s="113"/>
      <c r="E1830" s="114"/>
      <c r="J1830" s="115"/>
      <c r="K1830" s="110"/>
      <c r="L1830" s="111"/>
    </row>
    <row r="1831" spans="1:12" ht="14.25" customHeight="1" x14ac:dyDescent="0.2">
      <c r="A1831" s="10"/>
      <c r="B1831" s="110" t="e">
        <f t="shared" ca="1" si="15"/>
        <v>#NAME?</v>
      </c>
      <c r="C1831" s="113"/>
      <c r="D1831" s="113"/>
      <c r="E1831" s="114"/>
      <c r="J1831" s="115"/>
      <c r="K1831" s="110"/>
      <c r="L1831" s="111"/>
    </row>
    <row r="1832" spans="1:12" ht="14.25" customHeight="1" x14ac:dyDescent="0.2">
      <c r="A1832" s="10"/>
      <c r="B1832" s="110" t="e">
        <f t="shared" ca="1" si="15"/>
        <v>#NAME?</v>
      </c>
      <c r="C1832" s="113"/>
      <c r="D1832" s="113"/>
      <c r="E1832" s="114"/>
      <c r="J1832" s="115"/>
      <c r="K1832" s="110"/>
      <c r="L1832" s="111"/>
    </row>
    <row r="1833" spans="1:12" ht="14.25" customHeight="1" x14ac:dyDescent="0.2">
      <c r="A1833" s="10"/>
      <c r="B1833" s="110" t="e">
        <f t="shared" ca="1" si="15"/>
        <v>#NAME?</v>
      </c>
      <c r="C1833" s="113"/>
      <c r="D1833" s="113"/>
      <c r="E1833" s="114"/>
      <c r="J1833" s="115"/>
      <c r="K1833" s="110"/>
      <c r="L1833" s="111"/>
    </row>
    <row r="1834" spans="1:12" ht="14.25" customHeight="1" x14ac:dyDescent="0.2">
      <c r="A1834" s="10"/>
      <c r="B1834" s="110" t="e">
        <f t="shared" ca="1" si="15"/>
        <v>#NAME?</v>
      </c>
      <c r="C1834" s="113"/>
      <c r="D1834" s="113"/>
      <c r="E1834" s="114"/>
      <c r="J1834" s="115"/>
      <c r="K1834" s="110"/>
      <c r="L1834" s="111"/>
    </row>
    <row r="1835" spans="1:12" ht="14.25" customHeight="1" x14ac:dyDescent="0.2">
      <c r="A1835" s="10"/>
      <c r="B1835" s="110" t="e">
        <f t="shared" ca="1" si="15"/>
        <v>#NAME?</v>
      </c>
      <c r="C1835" s="113"/>
      <c r="D1835" s="113"/>
      <c r="E1835" s="114"/>
      <c r="J1835" s="115"/>
      <c r="K1835" s="110"/>
      <c r="L1835" s="111"/>
    </row>
    <row r="1836" spans="1:12" ht="14.25" customHeight="1" x14ac:dyDescent="0.2">
      <c r="A1836" s="10"/>
      <c r="B1836" s="110" t="e">
        <f t="shared" ca="1" si="15"/>
        <v>#NAME?</v>
      </c>
      <c r="C1836" s="113"/>
      <c r="D1836" s="113"/>
      <c r="E1836" s="114"/>
      <c r="J1836" s="115"/>
      <c r="K1836" s="110"/>
      <c r="L1836" s="111"/>
    </row>
    <row r="1837" spans="1:12" ht="14.25" customHeight="1" x14ac:dyDescent="0.2">
      <c r="A1837" s="10"/>
      <c r="B1837" s="110" t="e">
        <f t="shared" ca="1" si="15"/>
        <v>#NAME?</v>
      </c>
      <c r="C1837" s="113"/>
      <c r="D1837" s="113"/>
      <c r="E1837" s="114"/>
      <c r="J1837" s="115"/>
      <c r="K1837" s="110"/>
      <c r="L1837" s="111"/>
    </row>
    <row r="1838" spans="1:12" ht="14.25" customHeight="1" x14ac:dyDescent="0.2">
      <c r="A1838" s="10"/>
      <c r="B1838" s="110" t="e">
        <f t="shared" ca="1" si="15"/>
        <v>#NAME?</v>
      </c>
      <c r="C1838" s="113"/>
      <c r="D1838" s="113"/>
      <c r="E1838" s="114"/>
      <c r="J1838" s="115"/>
      <c r="K1838" s="110"/>
      <c r="L1838" s="111"/>
    </row>
    <row r="1839" spans="1:12" ht="14.25" customHeight="1" x14ac:dyDescent="0.2">
      <c r="A1839" s="10"/>
      <c r="B1839" s="110" t="e">
        <f t="shared" ca="1" si="15"/>
        <v>#NAME?</v>
      </c>
      <c r="C1839" s="113"/>
      <c r="D1839" s="113"/>
      <c r="E1839" s="114"/>
      <c r="J1839" s="115"/>
      <c r="K1839" s="110"/>
      <c r="L1839" s="111"/>
    </row>
    <row r="1840" spans="1:12" ht="14.25" customHeight="1" x14ac:dyDescent="0.2">
      <c r="A1840" s="10"/>
      <c r="B1840" s="110" t="e">
        <f t="shared" ca="1" si="15"/>
        <v>#NAME?</v>
      </c>
      <c r="C1840" s="113"/>
      <c r="D1840" s="113"/>
      <c r="E1840" s="114"/>
      <c r="J1840" s="115"/>
      <c r="K1840" s="110"/>
      <c r="L1840" s="111"/>
    </row>
    <row r="1841" spans="1:12" ht="14.25" customHeight="1" x14ac:dyDescent="0.2">
      <c r="A1841" s="10"/>
      <c r="B1841" s="110" t="e">
        <f t="shared" ca="1" si="15"/>
        <v>#NAME?</v>
      </c>
      <c r="C1841" s="113"/>
      <c r="D1841" s="113"/>
      <c r="E1841" s="114"/>
      <c r="J1841" s="115"/>
      <c r="K1841" s="110"/>
      <c r="L1841" s="111"/>
    </row>
    <row r="1842" spans="1:12" ht="14.25" customHeight="1" x14ac:dyDescent="0.2">
      <c r="A1842" s="10"/>
      <c r="B1842" s="110" t="e">
        <f t="shared" ca="1" si="15"/>
        <v>#NAME?</v>
      </c>
      <c r="C1842" s="113"/>
      <c r="D1842" s="113"/>
      <c r="E1842" s="114"/>
      <c r="J1842" s="115"/>
      <c r="K1842" s="110"/>
      <c r="L1842" s="111"/>
    </row>
    <row r="1843" spans="1:12" ht="14.25" customHeight="1" x14ac:dyDescent="0.2">
      <c r="A1843" s="10"/>
      <c r="B1843" s="110" t="e">
        <f t="shared" ca="1" si="15"/>
        <v>#NAME?</v>
      </c>
      <c r="C1843" s="113"/>
      <c r="D1843" s="113"/>
      <c r="E1843" s="114"/>
      <c r="J1843" s="115"/>
      <c r="K1843" s="110"/>
      <c r="L1843" s="111"/>
    </row>
    <row r="1844" spans="1:12" ht="14.25" customHeight="1" x14ac:dyDescent="0.2">
      <c r="A1844" s="10"/>
      <c r="B1844" s="110" t="e">
        <f t="shared" ca="1" si="15"/>
        <v>#NAME?</v>
      </c>
      <c r="C1844" s="113"/>
      <c r="D1844" s="113"/>
      <c r="E1844" s="114"/>
      <c r="J1844" s="115"/>
      <c r="K1844" s="110"/>
      <c r="L1844" s="111"/>
    </row>
    <row r="1845" spans="1:12" ht="14.25" customHeight="1" x14ac:dyDescent="0.2">
      <c r="A1845" s="10"/>
      <c r="B1845" s="110" t="e">
        <f t="shared" ca="1" si="15"/>
        <v>#NAME?</v>
      </c>
      <c r="C1845" s="113"/>
      <c r="D1845" s="113"/>
      <c r="E1845" s="114"/>
      <c r="J1845" s="115"/>
      <c r="K1845" s="110"/>
      <c r="L1845" s="111"/>
    </row>
    <row r="1846" spans="1:12" ht="14.25" customHeight="1" x14ac:dyDescent="0.2">
      <c r="A1846" s="10"/>
      <c r="B1846" s="110" t="e">
        <f t="shared" ca="1" si="15"/>
        <v>#NAME?</v>
      </c>
      <c r="C1846" s="113"/>
      <c r="D1846" s="113"/>
      <c r="E1846" s="114"/>
      <c r="J1846" s="115"/>
      <c r="K1846" s="110"/>
      <c r="L1846" s="111"/>
    </row>
    <row r="1847" spans="1:12" ht="14.25" customHeight="1" x14ac:dyDescent="0.2">
      <c r="A1847" s="10"/>
      <c r="B1847" s="110" t="e">
        <f t="shared" ca="1" si="15"/>
        <v>#NAME?</v>
      </c>
      <c r="C1847" s="113"/>
      <c r="D1847" s="113"/>
      <c r="E1847" s="114"/>
      <c r="J1847" s="115"/>
      <c r="K1847" s="110"/>
      <c r="L1847" s="111"/>
    </row>
    <row r="1848" spans="1:12" ht="14.25" customHeight="1" x14ac:dyDescent="0.2">
      <c r="A1848" s="10"/>
      <c r="B1848" s="110" t="e">
        <f t="shared" ca="1" si="15"/>
        <v>#NAME?</v>
      </c>
      <c r="C1848" s="113"/>
      <c r="D1848" s="113"/>
      <c r="E1848" s="114"/>
      <c r="J1848" s="115"/>
      <c r="K1848" s="110"/>
      <c r="L1848" s="111"/>
    </row>
    <row r="1849" spans="1:12" ht="14.25" customHeight="1" x14ac:dyDescent="0.2">
      <c r="A1849" s="10"/>
      <c r="B1849" s="110" t="e">
        <f t="shared" ca="1" si="15"/>
        <v>#NAME?</v>
      </c>
      <c r="C1849" s="113"/>
      <c r="D1849" s="113"/>
      <c r="E1849" s="114"/>
      <c r="J1849" s="115"/>
      <c r="K1849" s="110"/>
      <c r="L1849" s="111"/>
    </row>
    <row r="1850" spans="1:12" ht="14.25" customHeight="1" x14ac:dyDescent="0.2">
      <c r="A1850" s="10"/>
      <c r="B1850" s="110" t="e">
        <f t="shared" ca="1" si="15"/>
        <v>#NAME?</v>
      </c>
      <c r="C1850" s="113"/>
      <c r="D1850" s="113"/>
      <c r="E1850" s="114"/>
      <c r="J1850" s="115"/>
      <c r="K1850" s="110"/>
      <c r="L1850" s="111"/>
    </row>
    <row r="1851" spans="1:12" ht="14.25" customHeight="1" x14ac:dyDescent="0.2">
      <c r="A1851" s="10"/>
      <c r="B1851" s="110" t="e">
        <f t="shared" ca="1" si="15"/>
        <v>#NAME?</v>
      </c>
      <c r="C1851" s="113"/>
      <c r="D1851" s="113"/>
      <c r="E1851" s="114"/>
      <c r="J1851" s="115"/>
      <c r="K1851" s="110"/>
      <c r="L1851" s="111"/>
    </row>
    <row r="1852" spans="1:12" ht="14.25" customHeight="1" x14ac:dyDescent="0.2">
      <c r="A1852" s="10"/>
      <c r="B1852" s="110" t="e">
        <f t="shared" ca="1" si="15"/>
        <v>#NAME?</v>
      </c>
      <c r="C1852" s="113"/>
      <c r="D1852" s="113"/>
      <c r="E1852" s="114"/>
      <c r="J1852" s="115"/>
      <c r="K1852" s="110"/>
      <c r="L1852" s="111"/>
    </row>
    <row r="1853" spans="1:12" ht="14.25" customHeight="1" x14ac:dyDescent="0.2">
      <c r="A1853" s="10"/>
      <c r="B1853" s="110" t="e">
        <f t="shared" ca="1" si="15"/>
        <v>#NAME?</v>
      </c>
      <c r="C1853" s="113"/>
      <c r="D1853" s="113"/>
      <c r="E1853" s="114"/>
      <c r="J1853" s="115"/>
      <c r="K1853" s="110"/>
      <c r="L1853" s="111"/>
    </row>
    <row r="1854" spans="1:12" ht="14.25" customHeight="1" x14ac:dyDescent="0.2">
      <c r="A1854" s="10"/>
      <c r="B1854" s="110" t="e">
        <f t="shared" ca="1" si="15"/>
        <v>#NAME?</v>
      </c>
      <c r="C1854" s="113"/>
      <c r="D1854" s="113"/>
      <c r="E1854" s="114"/>
      <c r="J1854" s="115"/>
      <c r="K1854" s="110"/>
      <c r="L1854" s="111"/>
    </row>
    <row r="1855" spans="1:12" ht="14.25" customHeight="1" x14ac:dyDescent="0.2">
      <c r="A1855" s="10"/>
      <c r="B1855" s="110" t="e">
        <f t="shared" ca="1" si="15"/>
        <v>#NAME?</v>
      </c>
      <c r="C1855" s="113"/>
      <c r="D1855" s="113"/>
      <c r="E1855" s="114"/>
      <c r="J1855" s="115"/>
      <c r="K1855" s="110"/>
      <c r="L1855" s="111"/>
    </row>
    <row r="1856" spans="1:12" ht="14.25" customHeight="1" x14ac:dyDescent="0.2">
      <c r="A1856" s="10"/>
      <c r="B1856" s="110" t="e">
        <f t="shared" ca="1" si="15"/>
        <v>#NAME?</v>
      </c>
      <c r="C1856" s="113"/>
      <c r="D1856" s="113"/>
      <c r="E1856" s="114"/>
      <c r="J1856" s="115"/>
      <c r="K1856" s="110"/>
      <c r="L1856" s="111"/>
    </row>
    <row r="1857" spans="1:14" ht="14.25" customHeight="1" x14ac:dyDescent="0.2">
      <c r="A1857" s="10"/>
      <c r="B1857" s="110" t="e">
        <f t="shared" ca="1" si="15"/>
        <v>#NAME?</v>
      </c>
      <c r="C1857" s="113"/>
      <c r="D1857" s="113"/>
      <c r="E1857" s="114"/>
      <c r="J1857" s="115"/>
      <c r="K1857" s="110"/>
      <c r="L1857" s="111"/>
    </row>
    <row r="1858" spans="1:14" ht="14.25" customHeight="1" x14ac:dyDescent="0.2">
      <c r="A1858" s="10"/>
      <c r="B1858" s="110" t="e">
        <f t="shared" ca="1" si="15"/>
        <v>#NAME?</v>
      </c>
      <c r="C1858" s="113"/>
      <c r="D1858" s="113"/>
      <c r="E1858" s="114"/>
      <c r="J1858" s="115"/>
      <c r="K1858" s="110"/>
      <c r="L1858" s="111"/>
    </row>
    <row r="1859" spans="1:14" ht="14.25" customHeight="1" x14ac:dyDescent="0.2">
      <c r="A1859" s="10"/>
      <c r="B1859" s="110" t="e">
        <f t="shared" ca="1" si="15"/>
        <v>#NAME?</v>
      </c>
      <c r="C1859" s="113"/>
      <c r="D1859" s="113"/>
      <c r="E1859" s="114"/>
      <c r="J1859" s="115"/>
      <c r="K1859" s="110"/>
      <c r="L1859" s="111"/>
    </row>
    <row r="1860" spans="1:14" ht="14.25" customHeight="1" x14ac:dyDescent="0.2">
      <c r="A1860" s="10"/>
      <c r="B1860" s="110" t="e">
        <f t="shared" ca="1" si="15"/>
        <v>#NAME?</v>
      </c>
      <c r="C1860" s="113"/>
      <c r="D1860" s="113"/>
      <c r="E1860" s="114"/>
      <c r="J1860" s="115"/>
      <c r="K1860" s="110"/>
      <c r="L1860" s="111"/>
    </row>
    <row r="1861" spans="1:14" ht="14.25" customHeight="1" x14ac:dyDescent="0.2">
      <c r="A1861" s="10"/>
      <c r="B1861" s="110" t="e">
        <f t="shared" ca="1" si="15"/>
        <v>#NAME?</v>
      </c>
      <c r="C1861" s="113"/>
      <c r="D1861" s="113"/>
      <c r="E1861" s="114"/>
      <c r="J1861" s="115"/>
      <c r="K1861" s="110"/>
      <c r="L1861" s="111"/>
      <c r="M1861" s="116"/>
    </row>
    <row r="1862" spans="1:14" ht="14.25" customHeight="1" x14ac:dyDescent="0.2">
      <c r="A1862" s="10"/>
      <c r="B1862" s="110" t="e">
        <f t="shared" ref="B1862:B2089" ca="1" si="16">_xludf.NUMBERVALUE(L1935)*0.01</f>
        <v>#NAME?</v>
      </c>
      <c r="C1862" s="113"/>
      <c r="D1862" s="113"/>
      <c r="E1862" s="114"/>
      <c r="J1862" s="115"/>
      <c r="K1862" s="110"/>
      <c r="L1862" s="111"/>
    </row>
    <row r="1863" spans="1:14" ht="14.25" customHeight="1" x14ac:dyDescent="0.2">
      <c r="A1863" s="10"/>
      <c r="B1863" s="110" t="e">
        <f t="shared" ca="1" si="16"/>
        <v>#NAME?</v>
      </c>
      <c r="C1863" s="113"/>
      <c r="D1863" s="113"/>
      <c r="E1863" s="114"/>
      <c r="J1863" s="115"/>
      <c r="K1863" s="110"/>
      <c r="L1863" s="111"/>
    </row>
    <row r="1864" spans="1:14" ht="14.25" customHeight="1" x14ac:dyDescent="0.2">
      <c r="A1864" s="10"/>
      <c r="B1864" s="110" t="e">
        <f t="shared" ca="1" si="16"/>
        <v>#NAME?</v>
      </c>
      <c r="C1864" s="113"/>
      <c r="D1864" s="113"/>
      <c r="E1864" s="114"/>
      <c r="J1864" s="115"/>
      <c r="K1864" s="110"/>
      <c r="L1864" s="111"/>
    </row>
    <row r="1865" spans="1:14" ht="14.25" customHeight="1" x14ac:dyDescent="0.2">
      <c r="A1865" s="10"/>
      <c r="B1865" s="110" t="e">
        <f t="shared" ca="1" si="16"/>
        <v>#NAME?</v>
      </c>
      <c r="C1865" s="113"/>
      <c r="D1865" s="113"/>
      <c r="E1865" s="114"/>
      <c r="J1865" s="115"/>
      <c r="K1865" s="110"/>
      <c r="L1865" s="111"/>
    </row>
    <row r="1866" spans="1:14" ht="14.25" customHeight="1" x14ac:dyDescent="0.2">
      <c r="A1866" s="10"/>
      <c r="B1866" s="110" t="e">
        <f t="shared" ca="1" si="16"/>
        <v>#NAME?</v>
      </c>
      <c r="C1866" s="113"/>
      <c r="D1866" s="113"/>
      <c r="E1866" s="114"/>
      <c r="J1866" s="115"/>
      <c r="K1866" s="110"/>
      <c r="L1866" s="111"/>
    </row>
    <row r="1867" spans="1:14" ht="14.25" customHeight="1" x14ac:dyDescent="0.2">
      <c r="A1867" s="10"/>
      <c r="B1867" s="110" t="e">
        <f t="shared" ca="1" si="16"/>
        <v>#NAME?</v>
      </c>
      <c r="C1867" s="113"/>
      <c r="D1867" s="113"/>
      <c r="E1867" s="114"/>
      <c r="J1867" s="115"/>
      <c r="K1867" s="110"/>
      <c r="L1867" s="111"/>
      <c r="M1867" s="116"/>
    </row>
    <row r="1868" spans="1:14" ht="14.25" customHeight="1" x14ac:dyDescent="0.2">
      <c r="A1868" s="10"/>
      <c r="B1868" s="110" t="e">
        <f t="shared" ca="1" si="16"/>
        <v>#NAME?</v>
      </c>
      <c r="C1868" s="113"/>
      <c r="D1868" s="113"/>
      <c r="E1868" s="114"/>
      <c r="J1868" s="115"/>
      <c r="K1868" s="110"/>
      <c r="L1868" s="111"/>
      <c r="N1868" s="116"/>
    </row>
    <row r="1869" spans="1:14" ht="14.25" customHeight="1" x14ac:dyDescent="0.2">
      <c r="A1869" s="10"/>
      <c r="B1869" s="110" t="e">
        <f t="shared" ca="1" si="16"/>
        <v>#NAME?</v>
      </c>
      <c r="C1869" s="113"/>
      <c r="D1869" s="113"/>
      <c r="E1869" s="114"/>
      <c r="J1869" s="115"/>
      <c r="K1869" s="110"/>
      <c r="L1869" s="111"/>
    </row>
    <row r="1870" spans="1:14" ht="14.25" customHeight="1" x14ac:dyDescent="0.2">
      <c r="A1870" s="10"/>
      <c r="B1870" s="110" t="e">
        <f t="shared" ca="1" si="16"/>
        <v>#NAME?</v>
      </c>
      <c r="C1870" s="113"/>
      <c r="D1870" s="113"/>
      <c r="E1870" s="114"/>
      <c r="J1870" s="115"/>
      <c r="K1870" s="110"/>
      <c r="L1870" s="111"/>
    </row>
    <row r="1871" spans="1:14" ht="14.25" customHeight="1" x14ac:dyDescent="0.2">
      <c r="A1871" s="10"/>
      <c r="B1871" s="110" t="e">
        <f t="shared" ca="1" si="16"/>
        <v>#NAME?</v>
      </c>
      <c r="C1871" s="113"/>
      <c r="D1871" s="113"/>
      <c r="E1871" s="114"/>
      <c r="J1871" s="115"/>
      <c r="K1871" s="110"/>
      <c r="L1871" s="111"/>
    </row>
    <row r="1872" spans="1:14" ht="14.25" customHeight="1" x14ac:dyDescent="0.2">
      <c r="A1872" s="10"/>
      <c r="B1872" s="110" t="e">
        <f t="shared" ca="1" si="16"/>
        <v>#NAME?</v>
      </c>
      <c r="C1872" s="113"/>
      <c r="D1872" s="113"/>
      <c r="E1872" s="114"/>
      <c r="J1872" s="115"/>
      <c r="K1872" s="110"/>
      <c r="L1872" s="111"/>
    </row>
    <row r="1873" spans="1:14" ht="14.25" customHeight="1" x14ac:dyDescent="0.2">
      <c r="A1873" s="10"/>
      <c r="B1873" s="110" t="e">
        <f t="shared" ca="1" si="16"/>
        <v>#NAME?</v>
      </c>
      <c r="C1873" s="113"/>
      <c r="D1873" s="113"/>
      <c r="E1873" s="114"/>
      <c r="J1873" s="115"/>
      <c r="K1873" s="110"/>
      <c r="L1873" s="111"/>
    </row>
    <row r="1874" spans="1:14" ht="14.25" customHeight="1" x14ac:dyDescent="0.2">
      <c r="A1874" s="10"/>
      <c r="B1874" s="110" t="e">
        <f t="shared" ca="1" si="16"/>
        <v>#NAME?</v>
      </c>
      <c r="C1874" s="113"/>
      <c r="D1874" s="113"/>
      <c r="E1874" s="114"/>
      <c r="J1874" s="115"/>
      <c r="K1874" s="110"/>
      <c r="L1874" s="111"/>
      <c r="N1874" s="116"/>
    </row>
    <row r="1875" spans="1:14" ht="14.25" customHeight="1" x14ac:dyDescent="0.2">
      <c r="A1875" s="10"/>
      <c r="B1875" s="110" t="e">
        <f t="shared" ca="1" si="16"/>
        <v>#NAME?</v>
      </c>
      <c r="C1875" s="113"/>
      <c r="D1875" s="113"/>
      <c r="E1875" s="114"/>
      <c r="J1875" s="115"/>
      <c r="K1875" s="110"/>
      <c r="L1875" s="111"/>
    </row>
    <row r="1876" spans="1:14" ht="14.25" customHeight="1" x14ac:dyDescent="0.2">
      <c r="A1876" s="10"/>
      <c r="B1876" s="110" t="e">
        <f t="shared" ca="1" si="16"/>
        <v>#NAME?</v>
      </c>
      <c r="C1876" s="113"/>
      <c r="D1876" s="113"/>
      <c r="E1876" s="114"/>
      <c r="J1876" s="115"/>
      <c r="K1876" s="110"/>
      <c r="L1876" s="111"/>
    </row>
    <row r="1877" spans="1:14" ht="14.25" customHeight="1" x14ac:dyDescent="0.2">
      <c r="A1877" s="10"/>
      <c r="B1877" s="110" t="e">
        <f t="shared" ca="1" si="16"/>
        <v>#NAME?</v>
      </c>
      <c r="C1877" s="113"/>
      <c r="D1877" s="113"/>
      <c r="E1877" s="114"/>
      <c r="J1877" s="115"/>
      <c r="K1877" s="110"/>
      <c r="L1877" s="111"/>
    </row>
    <row r="1878" spans="1:14" ht="14.25" customHeight="1" x14ac:dyDescent="0.2">
      <c r="A1878" s="10"/>
      <c r="B1878" s="110" t="e">
        <f t="shared" ca="1" si="16"/>
        <v>#NAME?</v>
      </c>
      <c r="C1878" s="113"/>
      <c r="D1878" s="113"/>
      <c r="E1878" s="114"/>
      <c r="J1878" s="115"/>
      <c r="K1878" s="110"/>
      <c r="L1878" s="111"/>
    </row>
    <row r="1879" spans="1:14" ht="14.25" customHeight="1" x14ac:dyDescent="0.2">
      <c r="A1879" s="10"/>
      <c r="B1879" s="110" t="e">
        <f t="shared" ca="1" si="16"/>
        <v>#NAME?</v>
      </c>
      <c r="C1879" s="113"/>
      <c r="D1879" s="113"/>
      <c r="E1879" s="114"/>
      <c r="J1879" s="115"/>
      <c r="K1879" s="110"/>
      <c r="L1879" s="111"/>
    </row>
    <row r="1880" spans="1:14" ht="14.25" customHeight="1" x14ac:dyDescent="0.2">
      <c r="A1880" s="10"/>
      <c r="B1880" s="110" t="e">
        <f t="shared" ca="1" si="16"/>
        <v>#NAME?</v>
      </c>
      <c r="C1880" s="113"/>
      <c r="D1880" s="113"/>
      <c r="E1880" s="114"/>
      <c r="J1880" s="115"/>
      <c r="K1880" s="110"/>
      <c r="L1880" s="111"/>
    </row>
    <row r="1881" spans="1:14" ht="14.25" customHeight="1" x14ac:dyDescent="0.2">
      <c r="A1881" s="10"/>
      <c r="B1881" s="110" t="e">
        <f t="shared" ca="1" si="16"/>
        <v>#NAME?</v>
      </c>
      <c r="C1881" s="113"/>
      <c r="D1881" s="113"/>
      <c r="E1881" s="114"/>
      <c r="J1881" s="115"/>
      <c r="K1881" s="110"/>
      <c r="L1881" s="111"/>
      <c r="M1881" s="116"/>
    </row>
    <row r="1882" spans="1:14" ht="14.25" customHeight="1" x14ac:dyDescent="0.2">
      <c r="A1882" s="10"/>
      <c r="B1882" s="110" t="e">
        <f t="shared" ca="1" si="16"/>
        <v>#NAME?</v>
      </c>
      <c r="C1882" s="113"/>
      <c r="D1882" s="113"/>
      <c r="E1882" s="114"/>
      <c r="J1882" s="115"/>
      <c r="K1882" s="110"/>
      <c r="L1882" s="111"/>
    </row>
    <row r="1883" spans="1:14" ht="14.25" customHeight="1" x14ac:dyDescent="0.2">
      <c r="A1883" s="10"/>
      <c r="B1883" s="110" t="e">
        <f t="shared" ca="1" si="16"/>
        <v>#NAME?</v>
      </c>
      <c r="C1883" s="113"/>
      <c r="D1883" s="113"/>
      <c r="E1883" s="114"/>
      <c r="J1883" s="115"/>
      <c r="K1883" s="110"/>
      <c r="L1883" s="111"/>
    </row>
    <row r="1884" spans="1:14" ht="14.25" customHeight="1" x14ac:dyDescent="0.2">
      <c r="A1884" s="10"/>
      <c r="B1884" s="110" t="e">
        <f t="shared" ca="1" si="16"/>
        <v>#NAME?</v>
      </c>
      <c r="C1884" s="113"/>
      <c r="D1884" s="113"/>
      <c r="E1884" s="114"/>
      <c r="J1884" s="115"/>
      <c r="K1884" s="110"/>
      <c r="L1884" s="111"/>
    </row>
    <row r="1885" spans="1:14" ht="14.25" customHeight="1" x14ac:dyDescent="0.2">
      <c r="A1885" s="10"/>
      <c r="B1885" s="110" t="e">
        <f t="shared" ca="1" si="16"/>
        <v>#NAME?</v>
      </c>
      <c r="C1885" s="113"/>
      <c r="D1885" s="113"/>
      <c r="E1885" s="114"/>
      <c r="J1885" s="115"/>
      <c r="K1885" s="110"/>
      <c r="L1885" s="111"/>
    </row>
    <row r="1886" spans="1:14" ht="14.25" customHeight="1" x14ac:dyDescent="0.2">
      <c r="A1886" s="10"/>
      <c r="B1886" s="110" t="e">
        <f t="shared" ca="1" si="16"/>
        <v>#NAME?</v>
      </c>
      <c r="C1886" s="113"/>
      <c r="D1886" s="113"/>
      <c r="E1886" s="114"/>
      <c r="J1886" s="115"/>
      <c r="K1886" s="110"/>
      <c r="L1886" s="111"/>
    </row>
    <row r="1887" spans="1:14" ht="14.25" customHeight="1" x14ac:dyDescent="0.2">
      <c r="A1887" s="10"/>
      <c r="B1887" s="110" t="e">
        <f t="shared" ca="1" si="16"/>
        <v>#NAME?</v>
      </c>
      <c r="C1887" s="113"/>
      <c r="D1887" s="113"/>
      <c r="E1887" s="114"/>
      <c r="J1887" s="115"/>
      <c r="K1887" s="110"/>
      <c r="L1887" s="111"/>
    </row>
    <row r="1888" spans="1:14" ht="14.25" customHeight="1" x14ac:dyDescent="0.2">
      <c r="A1888" s="10"/>
      <c r="B1888" s="110" t="e">
        <f t="shared" ca="1" si="16"/>
        <v>#NAME?</v>
      </c>
      <c r="C1888" s="113"/>
      <c r="D1888" s="113"/>
      <c r="E1888" s="114"/>
      <c r="J1888" s="115"/>
      <c r="K1888" s="110"/>
      <c r="L1888" s="111"/>
    </row>
    <row r="1889" spans="1:14" ht="14.25" customHeight="1" x14ac:dyDescent="0.2">
      <c r="A1889" s="10"/>
      <c r="B1889" s="110" t="e">
        <f t="shared" ca="1" si="16"/>
        <v>#NAME?</v>
      </c>
      <c r="C1889" s="113"/>
      <c r="D1889" s="113"/>
      <c r="E1889" s="114"/>
      <c r="J1889" s="115"/>
      <c r="K1889" s="110"/>
      <c r="L1889" s="111"/>
    </row>
    <row r="1890" spans="1:14" ht="14.25" customHeight="1" x14ac:dyDescent="0.2">
      <c r="A1890" s="10"/>
      <c r="B1890" s="110" t="e">
        <f t="shared" ca="1" si="16"/>
        <v>#NAME?</v>
      </c>
      <c r="C1890" s="113"/>
      <c r="D1890" s="113"/>
      <c r="E1890" s="114"/>
      <c r="J1890" s="115"/>
      <c r="K1890" s="110"/>
      <c r="L1890" s="111"/>
    </row>
    <row r="1891" spans="1:14" ht="14.25" customHeight="1" x14ac:dyDescent="0.2">
      <c r="A1891" s="10"/>
      <c r="B1891" s="110" t="e">
        <f t="shared" ca="1" si="16"/>
        <v>#NAME?</v>
      </c>
      <c r="C1891" s="113"/>
      <c r="D1891" s="113"/>
      <c r="E1891" s="114"/>
      <c r="J1891" s="115"/>
      <c r="K1891" s="110"/>
      <c r="L1891" s="111"/>
    </row>
    <row r="1892" spans="1:14" ht="14.25" customHeight="1" x14ac:dyDescent="0.2">
      <c r="A1892" s="10"/>
      <c r="B1892" s="110" t="e">
        <f t="shared" ca="1" si="16"/>
        <v>#NAME?</v>
      </c>
      <c r="C1892" s="113"/>
      <c r="D1892" s="113"/>
      <c r="E1892" s="114"/>
      <c r="J1892" s="115"/>
      <c r="K1892" s="110"/>
      <c r="L1892" s="111"/>
    </row>
    <row r="1893" spans="1:14" ht="14.25" customHeight="1" x14ac:dyDescent="0.2">
      <c r="A1893" s="10"/>
      <c r="B1893" s="110" t="e">
        <f t="shared" ca="1" si="16"/>
        <v>#NAME?</v>
      </c>
      <c r="C1893" s="113"/>
      <c r="D1893" s="113"/>
      <c r="E1893" s="114"/>
      <c r="J1893" s="115"/>
      <c r="K1893" s="110"/>
      <c r="L1893" s="111"/>
    </row>
    <row r="1894" spans="1:14" ht="14.25" customHeight="1" x14ac:dyDescent="0.2">
      <c r="A1894" s="10"/>
      <c r="B1894" s="110" t="e">
        <f t="shared" ca="1" si="16"/>
        <v>#NAME?</v>
      </c>
      <c r="C1894" s="113"/>
      <c r="D1894" s="113"/>
      <c r="E1894" s="114"/>
      <c r="J1894" s="115"/>
      <c r="K1894" s="110"/>
      <c r="L1894" s="111"/>
    </row>
    <row r="1895" spans="1:14" ht="14.25" customHeight="1" x14ac:dyDescent="0.2">
      <c r="A1895" s="10"/>
      <c r="B1895" s="110" t="e">
        <f t="shared" ca="1" si="16"/>
        <v>#NAME?</v>
      </c>
      <c r="C1895" s="113"/>
      <c r="D1895" s="113"/>
      <c r="E1895" s="114"/>
      <c r="J1895" s="115"/>
      <c r="K1895" s="110"/>
      <c r="L1895" s="111"/>
    </row>
    <row r="1896" spans="1:14" ht="14.25" customHeight="1" x14ac:dyDescent="0.2">
      <c r="A1896" s="10"/>
      <c r="B1896" s="110" t="e">
        <f t="shared" ca="1" si="16"/>
        <v>#NAME?</v>
      </c>
      <c r="C1896" s="113"/>
      <c r="D1896" s="113"/>
      <c r="E1896" s="114"/>
      <c r="J1896" s="115"/>
      <c r="K1896" s="110"/>
      <c r="L1896" s="111"/>
    </row>
    <row r="1897" spans="1:14" ht="14.25" customHeight="1" x14ac:dyDescent="0.2">
      <c r="A1897" s="10"/>
      <c r="B1897" s="110" t="e">
        <f t="shared" ca="1" si="16"/>
        <v>#NAME?</v>
      </c>
      <c r="C1897" s="113"/>
      <c r="D1897" s="113"/>
      <c r="E1897" s="114"/>
      <c r="J1897" s="115"/>
      <c r="K1897" s="110"/>
      <c r="L1897" s="111"/>
    </row>
    <row r="1898" spans="1:14" ht="14.25" customHeight="1" x14ac:dyDescent="0.2">
      <c r="A1898" s="10"/>
      <c r="B1898" s="110" t="e">
        <f t="shared" ca="1" si="16"/>
        <v>#NAME?</v>
      </c>
      <c r="C1898" s="113"/>
      <c r="D1898" s="113"/>
      <c r="E1898" s="114"/>
      <c r="J1898" s="115"/>
      <c r="K1898" s="110"/>
      <c r="L1898" s="111"/>
    </row>
    <row r="1899" spans="1:14" ht="14.25" customHeight="1" x14ac:dyDescent="0.2">
      <c r="A1899" s="10"/>
      <c r="B1899" s="110" t="e">
        <f t="shared" ca="1" si="16"/>
        <v>#NAME?</v>
      </c>
      <c r="C1899" s="113"/>
      <c r="D1899" s="113"/>
      <c r="E1899" s="114"/>
      <c r="J1899" s="115"/>
      <c r="K1899" s="110"/>
      <c r="L1899" s="111"/>
      <c r="N1899" s="116"/>
    </row>
    <row r="1900" spans="1:14" ht="14.25" customHeight="1" x14ac:dyDescent="0.2">
      <c r="A1900" s="10"/>
      <c r="B1900" s="110" t="e">
        <f t="shared" ca="1" si="16"/>
        <v>#NAME?</v>
      </c>
      <c r="C1900" s="113"/>
      <c r="D1900" s="113"/>
      <c r="E1900" s="114"/>
      <c r="J1900" s="115"/>
      <c r="K1900" s="110"/>
      <c r="L1900" s="111"/>
    </row>
    <row r="1901" spans="1:14" ht="14.25" customHeight="1" x14ac:dyDescent="0.2">
      <c r="A1901" s="10"/>
      <c r="B1901" s="110" t="e">
        <f t="shared" ca="1" si="16"/>
        <v>#NAME?</v>
      </c>
      <c r="C1901" s="113"/>
      <c r="D1901" s="113"/>
      <c r="E1901" s="114"/>
      <c r="J1901" s="115"/>
      <c r="K1901" s="110"/>
      <c r="L1901" s="111"/>
    </row>
    <row r="1902" spans="1:14" ht="14.25" customHeight="1" x14ac:dyDescent="0.2">
      <c r="A1902" s="10"/>
      <c r="B1902" s="110" t="e">
        <f t="shared" ca="1" si="16"/>
        <v>#NAME?</v>
      </c>
      <c r="C1902" s="113"/>
      <c r="D1902" s="113"/>
      <c r="E1902" s="114"/>
      <c r="J1902" s="115"/>
      <c r="K1902" s="110"/>
      <c r="L1902" s="111"/>
    </row>
    <row r="1903" spans="1:14" ht="14.25" customHeight="1" x14ac:dyDescent="0.2">
      <c r="A1903" s="10"/>
      <c r="B1903" s="110" t="e">
        <f t="shared" ca="1" si="16"/>
        <v>#NAME?</v>
      </c>
      <c r="C1903" s="113"/>
      <c r="D1903" s="113"/>
      <c r="E1903" s="114"/>
      <c r="J1903" s="115"/>
      <c r="K1903" s="110"/>
      <c r="L1903" s="111"/>
    </row>
    <row r="1904" spans="1:14" ht="14.25" customHeight="1" x14ac:dyDescent="0.2">
      <c r="A1904" s="10"/>
      <c r="B1904" s="110" t="e">
        <f t="shared" ca="1" si="16"/>
        <v>#NAME?</v>
      </c>
      <c r="C1904" s="113"/>
      <c r="D1904" s="113"/>
      <c r="E1904" s="114"/>
      <c r="J1904" s="115"/>
      <c r="K1904" s="110"/>
      <c r="L1904" s="111"/>
    </row>
    <row r="1905" spans="1:13" ht="14.25" customHeight="1" x14ac:dyDescent="0.2">
      <c r="A1905" s="10"/>
      <c r="B1905" s="110" t="e">
        <f t="shared" ca="1" si="16"/>
        <v>#NAME?</v>
      </c>
      <c r="C1905" s="113"/>
      <c r="D1905" s="113"/>
      <c r="E1905" s="114"/>
      <c r="J1905" s="115"/>
      <c r="K1905" s="110"/>
      <c r="L1905" s="111"/>
    </row>
    <row r="1906" spans="1:13" ht="14.25" customHeight="1" x14ac:dyDescent="0.2">
      <c r="A1906" s="10"/>
      <c r="B1906" s="110" t="e">
        <f t="shared" ca="1" si="16"/>
        <v>#NAME?</v>
      </c>
      <c r="C1906" s="113"/>
      <c r="D1906" s="113"/>
      <c r="E1906" s="114"/>
      <c r="J1906" s="115"/>
      <c r="K1906" s="110"/>
      <c r="L1906" s="111"/>
    </row>
    <row r="1907" spans="1:13" ht="14.25" customHeight="1" x14ac:dyDescent="0.2">
      <c r="A1907" s="10"/>
      <c r="B1907" s="110" t="e">
        <f t="shared" ca="1" si="16"/>
        <v>#NAME?</v>
      </c>
      <c r="C1907" s="113"/>
      <c r="D1907" s="113"/>
      <c r="E1907" s="114"/>
      <c r="J1907" s="115"/>
      <c r="K1907" s="110"/>
      <c r="L1907" s="111"/>
    </row>
    <row r="1908" spans="1:13" ht="14.25" customHeight="1" x14ac:dyDescent="0.2">
      <c r="A1908" s="10"/>
      <c r="B1908" s="110" t="e">
        <f t="shared" ca="1" si="16"/>
        <v>#NAME?</v>
      </c>
      <c r="C1908" s="113"/>
      <c r="D1908" s="113"/>
      <c r="E1908" s="114"/>
      <c r="J1908" s="115"/>
      <c r="K1908" s="110"/>
      <c r="L1908" s="111"/>
    </row>
    <row r="1909" spans="1:13" ht="14.25" customHeight="1" x14ac:dyDescent="0.2">
      <c r="A1909" s="10"/>
      <c r="B1909" s="110" t="e">
        <f t="shared" ca="1" si="16"/>
        <v>#NAME?</v>
      </c>
      <c r="C1909" s="113"/>
      <c r="D1909" s="113"/>
      <c r="E1909" s="114"/>
      <c r="J1909" s="115"/>
      <c r="K1909" s="110"/>
      <c r="L1909" s="111"/>
    </row>
    <row r="1910" spans="1:13" ht="14.25" customHeight="1" x14ac:dyDescent="0.2">
      <c r="A1910" s="10"/>
      <c r="B1910" s="110" t="e">
        <f t="shared" ca="1" si="16"/>
        <v>#NAME?</v>
      </c>
      <c r="C1910" s="113"/>
      <c r="D1910" s="113"/>
      <c r="E1910" s="114"/>
      <c r="J1910" s="115"/>
      <c r="K1910" s="110"/>
      <c r="L1910" s="111"/>
    </row>
    <row r="1911" spans="1:13" ht="14.25" customHeight="1" x14ac:dyDescent="0.2">
      <c r="A1911" s="10"/>
      <c r="B1911" s="110" t="e">
        <f t="shared" ca="1" si="16"/>
        <v>#NAME?</v>
      </c>
      <c r="C1911" s="113"/>
      <c r="D1911" s="113"/>
      <c r="E1911" s="114"/>
      <c r="J1911" s="115"/>
      <c r="K1911" s="110"/>
      <c r="L1911" s="111"/>
    </row>
    <row r="1912" spans="1:13" ht="14.25" customHeight="1" x14ac:dyDescent="0.2">
      <c r="A1912" s="10"/>
      <c r="B1912" s="110" t="e">
        <f t="shared" ca="1" si="16"/>
        <v>#NAME?</v>
      </c>
      <c r="C1912" s="113"/>
      <c r="D1912" s="113"/>
      <c r="E1912" s="114"/>
      <c r="J1912" s="115"/>
      <c r="K1912" s="110"/>
      <c r="L1912" s="111"/>
    </row>
    <row r="1913" spans="1:13" ht="14.25" customHeight="1" x14ac:dyDescent="0.2">
      <c r="A1913" s="10"/>
      <c r="B1913" s="110" t="e">
        <f t="shared" ca="1" si="16"/>
        <v>#NAME?</v>
      </c>
      <c r="C1913" s="113"/>
      <c r="D1913" s="113"/>
      <c r="E1913" s="114"/>
      <c r="J1913" s="115"/>
      <c r="K1913" s="110"/>
      <c r="L1913" s="111"/>
    </row>
    <row r="1914" spans="1:13" ht="14.25" customHeight="1" x14ac:dyDescent="0.2">
      <c r="A1914" s="10"/>
      <c r="B1914" s="110" t="e">
        <f t="shared" ca="1" si="16"/>
        <v>#NAME?</v>
      </c>
      <c r="C1914" s="113"/>
      <c r="D1914" s="113"/>
      <c r="E1914" s="114"/>
      <c r="J1914" s="115"/>
      <c r="K1914" s="110"/>
      <c r="L1914" s="111"/>
    </row>
    <row r="1915" spans="1:13" ht="14.25" customHeight="1" x14ac:dyDescent="0.2">
      <c r="A1915" s="10"/>
      <c r="B1915" s="110" t="e">
        <f t="shared" ca="1" si="16"/>
        <v>#NAME?</v>
      </c>
      <c r="C1915" s="113"/>
      <c r="D1915" s="113"/>
      <c r="E1915" s="114"/>
      <c r="J1915" s="115"/>
      <c r="K1915" s="110"/>
      <c r="L1915" s="111"/>
    </row>
    <row r="1916" spans="1:13" ht="14.25" customHeight="1" x14ac:dyDescent="0.2">
      <c r="A1916" s="10"/>
      <c r="B1916" s="110" t="e">
        <f t="shared" ca="1" si="16"/>
        <v>#NAME?</v>
      </c>
      <c r="C1916" s="113"/>
      <c r="D1916" s="113"/>
      <c r="E1916" s="114"/>
      <c r="J1916" s="115"/>
      <c r="K1916" s="110"/>
      <c r="L1916" s="111"/>
    </row>
    <row r="1917" spans="1:13" ht="14.25" customHeight="1" x14ac:dyDescent="0.2">
      <c r="A1917" s="10"/>
      <c r="B1917" s="110" t="e">
        <f t="shared" ca="1" si="16"/>
        <v>#NAME?</v>
      </c>
      <c r="C1917" s="113"/>
      <c r="D1917" s="113"/>
      <c r="E1917" s="114"/>
      <c r="J1917" s="115"/>
      <c r="K1917" s="110"/>
      <c r="L1917" s="111"/>
      <c r="M1917" s="116"/>
    </row>
    <row r="1918" spans="1:13" ht="14.25" customHeight="1" x14ac:dyDescent="0.2">
      <c r="A1918" s="10"/>
      <c r="B1918" s="110" t="e">
        <f t="shared" ca="1" si="16"/>
        <v>#NAME?</v>
      </c>
      <c r="C1918" s="113"/>
      <c r="D1918" s="113"/>
      <c r="E1918" s="114"/>
      <c r="J1918" s="115"/>
      <c r="K1918" s="110"/>
      <c r="L1918" s="111"/>
    </row>
    <row r="1919" spans="1:13" ht="14.25" customHeight="1" x14ac:dyDescent="0.2">
      <c r="A1919" s="10"/>
      <c r="B1919" s="110" t="e">
        <f t="shared" ca="1" si="16"/>
        <v>#NAME?</v>
      </c>
      <c r="C1919" s="113"/>
      <c r="D1919" s="113"/>
      <c r="E1919" s="114"/>
      <c r="J1919" s="115"/>
      <c r="K1919" s="110"/>
      <c r="L1919" s="111"/>
    </row>
    <row r="1920" spans="1:13" ht="14.25" customHeight="1" x14ac:dyDescent="0.2">
      <c r="A1920" s="10"/>
      <c r="B1920" s="110" t="e">
        <f t="shared" ca="1" si="16"/>
        <v>#NAME?</v>
      </c>
      <c r="C1920" s="113"/>
      <c r="D1920" s="113"/>
      <c r="E1920" s="114"/>
      <c r="J1920" s="115"/>
      <c r="K1920" s="110"/>
      <c r="L1920" s="111"/>
    </row>
    <row r="1921" spans="1:15" ht="14.25" customHeight="1" x14ac:dyDescent="0.2">
      <c r="A1921" s="10"/>
      <c r="B1921" s="110" t="e">
        <f t="shared" ca="1" si="16"/>
        <v>#NAME?</v>
      </c>
      <c r="C1921" s="113"/>
      <c r="D1921" s="113"/>
      <c r="E1921" s="114"/>
      <c r="J1921" s="115"/>
      <c r="K1921" s="110"/>
      <c r="L1921" s="111"/>
    </row>
    <row r="1922" spans="1:15" ht="14.25" customHeight="1" x14ac:dyDescent="0.2">
      <c r="A1922" s="10"/>
      <c r="B1922" s="110" t="e">
        <f t="shared" ca="1" si="16"/>
        <v>#NAME?</v>
      </c>
      <c r="C1922" s="113"/>
      <c r="D1922" s="113"/>
      <c r="E1922" s="114"/>
      <c r="J1922" s="115"/>
      <c r="K1922" s="110"/>
      <c r="L1922" s="111"/>
    </row>
    <row r="1923" spans="1:15" ht="14.25" customHeight="1" x14ac:dyDescent="0.2">
      <c r="A1923" s="10"/>
      <c r="B1923" s="110" t="e">
        <f t="shared" ca="1" si="16"/>
        <v>#NAME?</v>
      </c>
      <c r="C1923" s="113"/>
      <c r="D1923" s="113"/>
      <c r="E1923" s="114"/>
      <c r="J1923" s="115"/>
      <c r="K1923" s="110"/>
      <c r="L1923" s="111"/>
      <c r="M1923" s="116"/>
    </row>
    <row r="1924" spans="1:15" ht="14.25" customHeight="1" x14ac:dyDescent="0.2">
      <c r="A1924" s="10"/>
      <c r="B1924" s="110" t="e">
        <f t="shared" ca="1" si="16"/>
        <v>#NAME?</v>
      </c>
      <c r="C1924" s="113"/>
      <c r="D1924" s="113"/>
      <c r="E1924" s="114"/>
      <c r="J1924" s="115"/>
      <c r="K1924" s="110"/>
      <c r="L1924" s="111"/>
    </row>
    <row r="1925" spans="1:15" ht="14.25" customHeight="1" x14ac:dyDescent="0.2">
      <c r="A1925" s="10"/>
      <c r="B1925" s="110" t="e">
        <f t="shared" ca="1" si="16"/>
        <v>#NAME?</v>
      </c>
      <c r="C1925" s="113"/>
      <c r="D1925" s="113"/>
      <c r="E1925" s="114"/>
      <c r="J1925" s="115"/>
      <c r="K1925" s="110"/>
      <c r="L1925" s="111"/>
    </row>
    <row r="1926" spans="1:15" ht="14.25" customHeight="1" x14ac:dyDescent="0.2">
      <c r="A1926" s="10"/>
      <c r="B1926" s="110" t="e">
        <f t="shared" ca="1" si="16"/>
        <v>#NAME?</v>
      </c>
      <c r="C1926" s="113"/>
      <c r="D1926" s="113"/>
      <c r="E1926" s="114"/>
      <c r="J1926" s="115"/>
      <c r="K1926" s="110"/>
      <c r="L1926" s="111"/>
      <c r="M1926" s="116"/>
      <c r="N1926" s="116"/>
    </row>
    <row r="1927" spans="1:15" ht="14.25" customHeight="1" x14ac:dyDescent="0.2">
      <c r="A1927" s="10"/>
      <c r="B1927" s="110" t="e">
        <f t="shared" ca="1" si="16"/>
        <v>#NAME?</v>
      </c>
      <c r="C1927" s="113"/>
      <c r="D1927" s="113"/>
      <c r="E1927" s="114"/>
      <c r="J1927" s="115"/>
      <c r="K1927" s="110"/>
      <c r="L1927" s="111"/>
    </row>
    <row r="1928" spans="1:15" ht="14.25" customHeight="1" x14ac:dyDescent="0.2">
      <c r="A1928" s="10"/>
      <c r="B1928" s="110" t="e">
        <f t="shared" ca="1" si="16"/>
        <v>#NAME?</v>
      </c>
      <c r="C1928" s="113"/>
      <c r="D1928" s="113"/>
      <c r="E1928" s="114"/>
      <c r="J1928" s="115"/>
      <c r="K1928" s="110"/>
      <c r="L1928" s="111"/>
    </row>
    <row r="1929" spans="1:15" ht="14.25" customHeight="1" x14ac:dyDescent="0.2">
      <c r="A1929" s="10"/>
      <c r="B1929" s="110" t="e">
        <f t="shared" ca="1" si="16"/>
        <v>#NAME?</v>
      </c>
      <c r="C1929" s="113"/>
      <c r="D1929" s="113"/>
      <c r="E1929" s="114"/>
      <c r="J1929" s="115"/>
      <c r="K1929" s="110"/>
      <c r="L1929" s="111"/>
    </row>
    <row r="1930" spans="1:15" ht="14.25" customHeight="1" x14ac:dyDescent="0.2">
      <c r="A1930" s="10"/>
      <c r="B1930" s="110" t="e">
        <f t="shared" ca="1" si="16"/>
        <v>#NAME?</v>
      </c>
      <c r="C1930" s="113"/>
      <c r="D1930" s="113"/>
      <c r="E1930" s="114"/>
      <c r="J1930" s="115"/>
      <c r="K1930" s="110"/>
      <c r="L1930" s="111"/>
    </row>
    <row r="1931" spans="1:15" ht="14.25" customHeight="1" x14ac:dyDescent="0.2">
      <c r="A1931" s="10"/>
      <c r="B1931" s="110" t="e">
        <f t="shared" ca="1" si="16"/>
        <v>#NAME?</v>
      </c>
      <c r="C1931" s="113"/>
      <c r="D1931" s="113"/>
      <c r="E1931" s="114"/>
      <c r="J1931" s="115"/>
      <c r="K1931" s="110"/>
      <c r="L1931" s="111"/>
    </row>
    <row r="1932" spans="1:15" ht="14.25" customHeight="1" x14ac:dyDescent="0.2">
      <c r="A1932" s="10"/>
      <c r="B1932" s="110" t="e">
        <f t="shared" ca="1" si="16"/>
        <v>#NAME?</v>
      </c>
      <c r="C1932" s="113"/>
      <c r="D1932" s="113"/>
      <c r="E1932" s="114"/>
      <c r="J1932" s="115"/>
      <c r="K1932" s="110"/>
      <c r="L1932" s="111"/>
      <c r="O1932" s="116"/>
    </row>
    <row r="1933" spans="1:15" ht="14.25" customHeight="1" x14ac:dyDescent="0.2">
      <c r="A1933" s="10"/>
      <c r="B1933" s="110" t="e">
        <f t="shared" ca="1" si="16"/>
        <v>#NAME?</v>
      </c>
      <c r="C1933" s="113"/>
      <c r="D1933" s="113"/>
      <c r="E1933" s="114"/>
      <c r="G1933" s="117"/>
      <c r="J1933" s="115"/>
      <c r="K1933" s="110"/>
      <c r="L1933" s="111"/>
    </row>
    <row r="1934" spans="1:15" ht="14.25" customHeight="1" x14ac:dyDescent="0.2">
      <c r="A1934" s="10"/>
      <c r="B1934" s="110" t="e">
        <f t="shared" ca="1" si="16"/>
        <v>#NAME?</v>
      </c>
      <c r="C1934" s="113"/>
      <c r="D1934" s="113"/>
      <c r="E1934" s="114"/>
      <c r="J1934" s="115"/>
      <c r="K1934" s="110"/>
      <c r="L1934" s="111"/>
    </row>
    <row r="1935" spans="1:15" ht="14.25" customHeight="1" x14ac:dyDescent="0.2">
      <c r="A1935" s="10"/>
      <c r="B1935" s="110" t="e">
        <f t="shared" ca="1" si="16"/>
        <v>#NAME?</v>
      </c>
      <c r="C1935" s="113"/>
      <c r="D1935" s="113"/>
      <c r="E1935" s="114"/>
      <c r="J1935" s="115"/>
      <c r="K1935" s="110"/>
      <c r="L1935" s="111"/>
    </row>
    <row r="1936" spans="1:15" ht="14.25" customHeight="1" x14ac:dyDescent="0.2">
      <c r="A1936" s="10"/>
      <c r="B1936" s="110" t="e">
        <f t="shared" ca="1" si="16"/>
        <v>#NAME?</v>
      </c>
      <c r="C1936" s="113"/>
      <c r="D1936" s="113"/>
      <c r="E1936" s="114"/>
      <c r="J1936" s="115"/>
      <c r="K1936" s="110"/>
      <c r="L1936" s="111"/>
    </row>
    <row r="1937" spans="1:15" ht="14.25" customHeight="1" x14ac:dyDescent="0.2">
      <c r="A1937" s="10"/>
      <c r="B1937" s="110" t="e">
        <f t="shared" ca="1" si="16"/>
        <v>#NAME?</v>
      </c>
      <c r="C1937" s="113"/>
      <c r="D1937" s="113"/>
      <c r="E1937" s="114"/>
      <c r="J1937" s="115"/>
      <c r="K1937" s="110"/>
      <c r="L1937" s="111"/>
    </row>
    <row r="1938" spans="1:15" ht="14.25" customHeight="1" x14ac:dyDescent="0.2">
      <c r="A1938" s="10"/>
      <c r="B1938" s="110" t="e">
        <f t="shared" ca="1" si="16"/>
        <v>#NAME?</v>
      </c>
      <c r="C1938" s="113"/>
      <c r="D1938" s="113"/>
      <c r="E1938" s="114"/>
      <c r="J1938" s="115"/>
      <c r="K1938" s="110"/>
      <c r="L1938" s="111"/>
    </row>
    <row r="1939" spans="1:15" ht="14.25" customHeight="1" x14ac:dyDescent="0.2">
      <c r="A1939" s="10"/>
      <c r="B1939" s="110" t="e">
        <f t="shared" ca="1" si="16"/>
        <v>#NAME?</v>
      </c>
      <c r="C1939" s="113"/>
      <c r="D1939" s="113"/>
      <c r="E1939" s="114"/>
      <c r="J1939" s="115"/>
      <c r="K1939" s="110"/>
      <c r="L1939" s="111"/>
    </row>
    <row r="1940" spans="1:15" ht="14.25" customHeight="1" x14ac:dyDescent="0.2">
      <c r="A1940" s="10"/>
      <c r="B1940" s="110" t="e">
        <f t="shared" ca="1" si="16"/>
        <v>#NAME?</v>
      </c>
      <c r="C1940" s="113"/>
      <c r="D1940" s="113"/>
      <c r="E1940" s="114"/>
      <c r="J1940" s="115"/>
      <c r="K1940" s="110"/>
      <c r="L1940" s="111"/>
    </row>
    <row r="1941" spans="1:15" ht="14.25" customHeight="1" x14ac:dyDescent="0.2">
      <c r="A1941" s="10"/>
      <c r="B1941" s="110" t="e">
        <f t="shared" ca="1" si="16"/>
        <v>#NAME?</v>
      </c>
      <c r="C1941" s="113"/>
      <c r="D1941" s="113"/>
      <c r="E1941" s="114"/>
      <c r="J1941" s="115"/>
      <c r="K1941" s="110"/>
      <c r="L1941" s="111"/>
      <c r="M1941" s="116"/>
      <c r="O1941" s="116"/>
    </row>
    <row r="1942" spans="1:15" ht="14.25" customHeight="1" x14ac:dyDescent="0.2">
      <c r="A1942" s="10"/>
      <c r="B1942" s="110" t="e">
        <f t="shared" ca="1" si="16"/>
        <v>#NAME?</v>
      </c>
      <c r="C1942" s="113"/>
      <c r="D1942" s="113"/>
      <c r="E1942" s="114"/>
      <c r="J1942" s="115"/>
      <c r="K1942" s="110"/>
      <c r="L1942" s="111"/>
    </row>
    <row r="1943" spans="1:15" ht="14.25" customHeight="1" x14ac:dyDescent="0.2">
      <c r="A1943" s="10"/>
      <c r="B1943" s="110" t="e">
        <f t="shared" ca="1" si="16"/>
        <v>#NAME?</v>
      </c>
      <c r="C1943" s="113"/>
      <c r="D1943" s="113"/>
      <c r="E1943" s="114"/>
      <c r="J1943" s="115"/>
      <c r="K1943" s="110"/>
      <c r="L1943" s="111"/>
    </row>
    <row r="1944" spans="1:15" ht="14.25" customHeight="1" x14ac:dyDescent="0.2">
      <c r="A1944" s="10"/>
      <c r="B1944" s="110" t="e">
        <f t="shared" ca="1" si="16"/>
        <v>#NAME?</v>
      </c>
      <c r="C1944" s="113"/>
      <c r="D1944" s="113"/>
      <c r="E1944" s="114"/>
      <c r="J1944" s="115"/>
      <c r="K1944" s="110"/>
      <c r="L1944" s="111"/>
    </row>
    <row r="1945" spans="1:15" ht="14.25" customHeight="1" x14ac:dyDescent="0.2">
      <c r="A1945" s="10"/>
      <c r="B1945" s="110" t="e">
        <f t="shared" ca="1" si="16"/>
        <v>#NAME?</v>
      </c>
      <c r="C1945" s="113"/>
      <c r="D1945" s="113"/>
      <c r="E1945" s="114"/>
      <c r="J1945" s="115"/>
      <c r="K1945" s="110"/>
      <c r="L1945" s="111"/>
    </row>
    <row r="1946" spans="1:15" ht="14.25" customHeight="1" x14ac:dyDescent="0.2">
      <c r="A1946" s="10"/>
      <c r="B1946" s="110" t="e">
        <f t="shared" ca="1" si="16"/>
        <v>#NAME?</v>
      </c>
      <c r="C1946" s="113"/>
      <c r="D1946" s="113"/>
      <c r="E1946" s="114"/>
      <c r="J1946" s="115"/>
      <c r="K1946" s="110"/>
      <c r="L1946" s="111"/>
    </row>
    <row r="1947" spans="1:15" ht="14.25" customHeight="1" x14ac:dyDescent="0.2">
      <c r="A1947" s="10"/>
      <c r="B1947" s="110" t="e">
        <f t="shared" ca="1" si="16"/>
        <v>#NAME?</v>
      </c>
      <c r="C1947" s="113"/>
      <c r="D1947" s="113"/>
      <c r="E1947" s="114"/>
      <c r="J1947" s="115"/>
      <c r="K1947" s="110"/>
      <c r="L1947" s="111"/>
      <c r="O1947" s="116"/>
    </row>
    <row r="1948" spans="1:15" ht="14.25" customHeight="1" x14ac:dyDescent="0.2">
      <c r="A1948" s="10"/>
      <c r="B1948" s="110" t="e">
        <f t="shared" ca="1" si="16"/>
        <v>#NAME?</v>
      </c>
      <c r="C1948" s="113"/>
      <c r="D1948" s="113"/>
      <c r="E1948" s="114"/>
      <c r="J1948" s="115"/>
      <c r="K1948" s="110"/>
      <c r="L1948" s="111"/>
    </row>
    <row r="1949" spans="1:15" ht="14.25" customHeight="1" x14ac:dyDescent="0.2">
      <c r="A1949" s="10"/>
      <c r="B1949" s="110" t="e">
        <f t="shared" ca="1" si="16"/>
        <v>#NAME?</v>
      </c>
      <c r="C1949" s="113"/>
      <c r="D1949" s="113"/>
      <c r="E1949" s="114"/>
      <c r="J1949" s="115"/>
      <c r="K1949" s="110"/>
      <c r="L1949" s="111"/>
    </row>
    <row r="1950" spans="1:15" ht="14.25" customHeight="1" x14ac:dyDescent="0.2">
      <c r="A1950" s="10"/>
      <c r="B1950" s="110" t="e">
        <f t="shared" ca="1" si="16"/>
        <v>#NAME?</v>
      </c>
      <c r="C1950" s="113"/>
      <c r="D1950" s="113"/>
      <c r="E1950" s="114"/>
      <c r="J1950" s="115"/>
      <c r="K1950" s="110"/>
      <c r="L1950" s="111"/>
    </row>
    <row r="1951" spans="1:15" ht="14.25" customHeight="1" x14ac:dyDescent="0.2">
      <c r="A1951" s="10"/>
      <c r="B1951" s="110" t="e">
        <f t="shared" ca="1" si="16"/>
        <v>#NAME?</v>
      </c>
      <c r="C1951" s="113"/>
      <c r="D1951" s="113"/>
      <c r="E1951" s="114"/>
      <c r="J1951" s="115"/>
      <c r="K1951" s="110"/>
      <c r="L1951" s="111"/>
    </row>
    <row r="1952" spans="1:15" ht="14.25" customHeight="1" x14ac:dyDescent="0.2">
      <c r="A1952" s="10"/>
      <c r="B1952" s="110" t="e">
        <f t="shared" ca="1" si="16"/>
        <v>#NAME?</v>
      </c>
      <c r="C1952" s="113"/>
      <c r="D1952" s="113"/>
      <c r="E1952" s="114"/>
      <c r="J1952" s="115"/>
      <c r="K1952" s="110"/>
      <c r="L1952" s="111"/>
    </row>
    <row r="1953" spans="1:12" ht="14.25" customHeight="1" x14ac:dyDescent="0.2">
      <c r="A1953" s="10"/>
      <c r="B1953" s="110" t="e">
        <f t="shared" ca="1" si="16"/>
        <v>#NAME?</v>
      </c>
      <c r="C1953" s="113"/>
      <c r="D1953" s="113"/>
      <c r="E1953" s="114"/>
      <c r="J1953" s="115"/>
      <c r="K1953" s="110"/>
      <c r="L1953" s="111"/>
    </row>
    <row r="1954" spans="1:12" ht="14.25" customHeight="1" x14ac:dyDescent="0.2">
      <c r="A1954" s="10"/>
      <c r="B1954" s="110" t="e">
        <f t="shared" ca="1" si="16"/>
        <v>#NAME?</v>
      </c>
      <c r="C1954" s="113"/>
      <c r="D1954" s="113"/>
      <c r="E1954" s="114"/>
      <c r="J1954" s="115"/>
      <c r="K1954" s="110"/>
      <c r="L1954" s="111"/>
    </row>
    <row r="1955" spans="1:12" ht="14.25" customHeight="1" x14ac:dyDescent="0.2">
      <c r="A1955" s="10"/>
      <c r="B1955" s="110" t="e">
        <f t="shared" ca="1" si="16"/>
        <v>#NAME?</v>
      </c>
      <c r="C1955" s="113"/>
      <c r="D1955" s="113"/>
      <c r="E1955" s="114"/>
      <c r="J1955" s="115"/>
      <c r="K1955" s="110"/>
      <c r="L1955" s="111"/>
    </row>
    <row r="1956" spans="1:12" ht="14.25" customHeight="1" x14ac:dyDescent="0.2">
      <c r="A1956" s="10"/>
      <c r="B1956" s="110" t="e">
        <f t="shared" ca="1" si="16"/>
        <v>#NAME?</v>
      </c>
      <c r="C1956" s="113"/>
      <c r="D1956" s="113"/>
      <c r="E1956" s="114"/>
      <c r="J1956" s="115"/>
      <c r="K1956" s="110"/>
      <c r="L1956" s="111"/>
    </row>
    <row r="1957" spans="1:12" ht="14.25" customHeight="1" x14ac:dyDescent="0.2">
      <c r="A1957" s="10"/>
      <c r="B1957" s="110" t="e">
        <f t="shared" ca="1" si="16"/>
        <v>#NAME?</v>
      </c>
      <c r="C1957" s="113"/>
      <c r="D1957" s="113"/>
      <c r="E1957" s="114"/>
      <c r="J1957" s="115"/>
      <c r="K1957" s="110"/>
      <c r="L1957" s="111"/>
    </row>
    <row r="1958" spans="1:12" ht="14.25" customHeight="1" x14ac:dyDescent="0.2">
      <c r="A1958" s="10"/>
      <c r="B1958" s="110" t="e">
        <f t="shared" ca="1" si="16"/>
        <v>#NAME?</v>
      </c>
      <c r="C1958" s="113"/>
      <c r="D1958" s="113"/>
      <c r="E1958" s="114"/>
      <c r="J1958" s="115"/>
      <c r="K1958" s="110"/>
      <c r="L1958" s="111"/>
    </row>
    <row r="1959" spans="1:12" ht="14.25" customHeight="1" x14ac:dyDescent="0.2">
      <c r="A1959" s="10"/>
      <c r="B1959" s="110" t="e">
        <f t="shared" ca="1" si="16"/>
        <v>#NAME?</v>
      </c>
      <c r="C1959" s="113"/>
      <c r="D1959" s="113"/>
      <c r="E1959" s="114"/>
      <c r="J1959" s="115"/>
      <c r="K1959" s="110"/>
      <c r="L1959" s="111"/>
    </row>
    <row r="1960" spans="1:12" ht="14.25" customHeight="1" x14ac:dyDescent="0.2">
      <c r="A1960" s="10"/>
      <c r="B1960" s="110" t="e">
        <f t="shared" ca="1" si="16"/>
        <v>#NAME?</v>
      </c>
      <c r="C1960" s="113"/>
      <c r="D1960" s="113"/>
      <c r="E1960" s="114"/>
      <c r="J1960" s="115"/>
      <c r="K1960" s="110"/>
      <c r="L1960" s="111"/>
    </row>
    <row r="1961" spans="1:12" ht="14.25" customHeight="1" x14ac:dyDescent="0.2">
      <c r="A1961" s="10"/>
      <c r="B1961" s="110" t="e">
        <f t="shared" ca="1" si="16"/>
        <v>#NAME?</v>
      </c>
      <c r="C1961" s="113"/>
      <c r="D1961" s="113"/>
      <c r="E1961" s="114"/>
      <c r="J1961" s="115"/>
      <c r="K1961" s="110"/>
      <c r="L1961" s="111"/>
    </row>
    <row r="1962" spans="1:12" ht="14.25" customHeight="1" x14ac:dyDescent="0.2">
      <c r="A1962" s="10"/>
      <c r="B1962" s="110" t="e">
        <f t="shared" ca="1" si="16"/>
        <v>#NAME?</v>
      </c>
      <c r="C1962" s="113"/>
      <c r="D1962" s="113"/>
      <c r="E1962" s="114"/>
      <c r="J1962" s="115"/>
      <c r="K1962" s="110"/>
      <c r="L1962" s="111"/>
    </row>
    <row r="1963" spans="1:12" ht="14.25" customHeight="1" x14ac:dyDescent="0.2">
      <c r="A1963" s="10"/>
      <c r="B1963" s="110" t="e">
        <f t="shared" ca="1" si="16"/>
        <v>#NAME?</v>
      </c>
      <c r="C1963" s="113"/>
      <c r="D1963" s="113"/>
      <c r="E1963" s="114"/>
      <c r="J1963" s="115"/>
      <c r="K1963" s="110"/>
      <c r="L1963" s="111"/>
    </row>
    <row r="1964" spans="1:12" ht="14.25" customHeight="1" x14ac:dyDescent="0.2">
      <c r="A1964" s="10"/>
      <c r="B1964" s="110" t="e">
        <f t="shared" ca="1" si="16"/>
        <v>#NAME?</v>
      </c>
      <c r="C1964" s="113"/>
      <c r="D1964" s="113"/>
      <c r="E1964" s="114"/>
      <c r="J1964" s="115"/>
      <c r="K1964" s="110"/>
      <c r="L1964" s="111"/>
    </row>
    <row r="1965" spans="1:12" ht="14.25" customHeight="1" x14ac:dyDescent="0.2">
      <c r="A1965" s="10"/>
      <c r="B1965" s="110" t="e">
        <f t="shared" ca="1" si="16"/>
        <v>#NAME?</v>
      </c>
      <c r="C1965" s="113"/>
      <c r="D1965" s="113"/>
      <c r="E1965" s="114"/>
      <c r="J1965" s="115"/>
      <c r="K1965" s="110"/>
      <c r="L1965" s="111"/>
    </row>
    <row r="1966" spans="1:12" ht="14.25" customHeight="1" x14ac:dyDescent="0.2">
      <c r="A1966" s="10"/>
      <c r="B1966" s="110" t="e">
        <f t="shared" ca="1" si="16"/>
        <v>#NAME?</v>
      </c>
      <c r="C1966" s="113"/>
      <c r="D1966" s="113"/>
      <c r="E1966" s="114"/>
      <c r="J1966" s="115"/>
      <c r="K1966" s="110"/>
      <c r="L1966" s="111"/>
    </row>
    <row r="1967" spans="1:12" ht="14.25" customHeight="1" x14ac:dyDescent="0.2">
      <c r="A1967" s="10"/>
      <c r="B1967" s="110" t="e">
        <f t="shared" ca="1" si="16"/>
        <v>#NAME?</v>
      </c>
      <c r="C1967" s="113"/>
      <c r="D1967" s="113"/>
      <c r="E1967" s="114"/>
      <c r="J1967" s="115"/>
      <c r="K1967" s="110"/>
      <c r="L1967" s="111"/>
    </row>
    <row r="1968" spans="1:12" ht="14.25" customHeight="1" x14ac:dyDescent="0.2">
      <c r="A1968" s="10"/>
      <c r="B1968" s="110" t="e">
        <f t="shared" ca="1" si="16"/>
        <v>#NAME?</v>
      </c>
      <c r="C1968" s="113"/>
      <c r="D1968" s="113"/>
      <c r="E1968" s="114"/>
      <c r="J1968" s="115"/>
      <c r="K1968" s="110"/>
      <c r="L1968" s="111"/>
    </row>
    <row r="1969" spans="1:12" ht="14.25" customHeight="1" x14ac:dyDescent="0.2">
      <c r="A1969" s="10"/>
      <c r="B1969" s="110" t="e">
        <f t="shared" ca="1" si="16"/>
        <v>#NAME?</v>
      </c>
      <c r="C1969" s="113"/>
      <c r="D1969" s="113"/>
      <c r="E1969" s="114"/>
      <c r="J1969" s="115"/>
      <c r="K1969" s="110"/>
      <c r="L1969" s="111"/>
    </row>
    <row r="1970" spans="1:12" ht="14.25" customHeight="1" x14ac:dyDescent="0.2">
      <c r="A1970" s="10"/>
      <c r="B1970" s="110" t="e">
        <f t="shared" ca="1" si="16"/>
        <v>#NAME?</v>
      </c>
      <c r="C1970" s="113"/>
      <c r="D1970" s="113"/>
      <c r="E1970" s="114"/>
      <c r="J1970" s="115"/>
      <c r="K1970" s="110"/>
      <c r="L1970" s="111"/>
    </row>
    <row r="1971" spans="1:12" ht="14.25" customHeight="1" x14ac:dyDescent="0.2">
      <c r="A1971" s="10"/>
      <c r="B1971" s="110" t="e">
        <f t="shared" ca="1" si="16"/>
        <v>#NAME?</v>
      </c>
      <c r="C1971" s="113"/>
      <c r="D1971" s="113"/>
      <c r="E1971" s="114"/>
      <c r="J1971" s="115"/>
      <c r="K1971" s="110"/>
      <c r="L1971" s="111"/>
    </row>
    <row r="1972" spans="1:12" ht="14.25" customHeight="1" x14ac:dyDescent="0.2">
      <c r="A1972" s="10"/>
      <c r="B1972" s="110" t="e">
        <f t="shared" ca="1" si="16"/>
        <v>#NAME?</v>
      </c>
      <c r="C1972" s="113"/>
      <c r="D1972" s="113"/>
      <c r="E1972" s="114"/>
      <c r="J1972" s="115"/>
      <c r="K1972" s="110"/>
      <c r="L1972" s="111"/>
    </row>
    <row r="1973" spans="1:12" ht="14.25" customHeight="1" x14ac:dyDescent="0.2">
      <c r="A1973" s="10"/>
      <c r="B1973" s="110" t="e">
        <f t="shared" ca="1" si="16"/>
        <v>#NAME?</v>
      </c>
      <c r="C1973" s="113"/>
      <c r="D1973" s="113"/>
      <c r="E1973" s="114"/>
      <c r="J1973" s="115"/>
      <c r="K1973" s="110"/>
      <c r="L1973" s="111"/>
    </row>
    <row r="1974" spans="1:12" ht="14.25" customHeight="1" x14ac:dyDescent="0.2">
      <c r="A1974" s="10"/>
      <c r="B1974" s="110" t="e">
        <f t="shared" ca="1" si="16"/>
        <v>#NAME?</v>
      </c>
      <c r="C1974" s="113"/>
      <c r="D1974" s="113"/>
      <c r="E1974" s="114"/>
      <c r="J1974" s="115"/>
      <c r="K1974" s="110"/>
      <c r="L1974" s="111"/>
    </row>
    <row r="1975" spans="1:12" ht="14.25" customHeight="1" x14ac:dyDescent="0.2">
      <c r="A1975" s="10"/>
      <c r="B1975" s="110" t="e">
        <f t="shared" ca="1" si="16"/>
        <v>#NAME?</v>
      </c>
      <c r="C1975" s="113"/>
      <c r="D1975" s="113"/>
      <c r="E1975" s="114"/>
      <c r="J1975" s="115"/>
      <c r="K1975" s="110"/>
      <c r="L1975" s="111"/>
    </row>
    <row r="1976" spans="1:12" ht="14.25" customHeight="1" x14ac:dyDescent="0.2">
      <c r="A1976" s="10"/>
      <c r="B1976" s="110" t="e">
        <f t="shared" ca="1" si="16"/>
        <v>#NAME?</v>
      </c>
      <c r="C1976" s="113"/>
      <c r="D1976" s="113"/>
      <c r="E1976" s="114"/>
      <c r="J1976" s="115"/>
      <c r="K1976" s="110"/>
      <c r="L1976" s="111"/>
    </row>
    <row r="1977" spans="1:12" ht="14.25" customHeight="1" x14ac:dyDescent="0.2">
      <c r="A1977" s="10"/>
      <c r="B1977" s="110" t="e">
        <f t="shared" ca="1" si="16"/>
        <v>#NAME?</v>
      </c>
      <c r="C1977" s="113"/>
      <c r="D1977" s="113"/>
      <c r="E1977" s="114"/>
      <c r="J1977" s="115"/>
      <c r="K1977" s="110"/>
      <c r="L1977" s="111"/>
    </row>
    <row r="1978" spans="1:12" ht="14.25" customHeight="1" x14ac:dyDescent="0.2">
      <c r="A1978" s="10"/>
      <c r="B1978" s="110" t="e">
        <f t="shared" ca="1" si="16"/>
        <v>#NAME?</v>
      </c>
      <c r="C1978" s="113"/>
      <c r="D1978" s="113"/>
      <c r="E1978" s="114"/>
      <c r="J1978" s="115"/>
      <c r="K1978" s="110"/>
      <c r="L1978" s="111"/>
    </row>
    <row r="1979" spans="1:12" ht="14.25" customHeight="1" x14ac:dyDescent="0.2">
      <c r="A1979" s="10"/>
      <c r="B1979" s="110" t="e">
        <f t="shared" ca="1" si="16"/>
        <v>#NAME?</v>
      </c>
      <c r="C1979" s="113"/>
      <c r="D1979" s="113"/>
      <c r="E1979" s="114"/>
      <c r="J1979" s="115"/>
      <c r="K1979" s="110"/>
      <c r="L1979" s="111"/>
    </row>
    <row r="1980" spans="1:12" ht="14.25" customHeight="1" x14ac:dyDescent="0.2">
      <c r="A1980" s="10"/>
      <c r="B1980" s="110" t="e">
        <f t="shared" ca="1" si="16"/>
        <v>#NAME?</v>
      </c>
      <c r="C1980" s="113"/>
      <c r="D1980" s="113"/>
      <c r="E1980" s="114"/>
      <c r="J1980" s="115"/>
      <c r="K1980" s="110"/>
      <c r="L1980" s="111"/>
    </row>
    <row r="1981" spans="1:12" ht="14.25" customHeight="1" x14ac:dyDescent="0.2">
      <c r="A1981" s="10"/>
      <c r="B1981" s="110" t="e">
        <f t="shared" ca="1" si="16"/>
        <v>#NAME?</v>
      </c>
      <c r="C1981" s="113"/>
      <c r="D1981" s="113"/>
      <c r="E1981" s="114"/>
      <c r="J1981" s="115"/>
      <c r="K1981" s="110"/>
      <c r="L1981" s="111"/>
    </row>
    <row r="1982" spans="1:12" ht="14.25" customHeight="1" x14ac:dyDescent="0.2">
      <c r="A1982" s="10"/>
      <c r="B1982" s="110" t="e">
        <f t="shared" ca="1" si="16"/>
        <v>#NAME?</v>
      </c>
      <c r="C1982" s="113"/>
      <c r="D1982" s="113"/>
      <c r="E1982" s="114"/>
      <c r="J1982" s="115"/>
      <c r="K1982" s="110"/>
      <c r="L1982" s="111"/>
    </row>
    <row r="1983" spans="1:12" ht="14.25" customHeight="1" x14ac:dyDescent="0.2">
      <c r="A1983" s="10"/>
      <c r="B1983" s="110" t="e">
        <f t="shared" ca="1" si="16"/>
        <v>#NAME?</v>
      </c>
      <c r="C1983" s="113"/>
      <c r="D1983" s="113"/>
      <c r="E1983" s="114"/>
      <c r="J1983" s="115"/>
      <c r="K1983" s="110"/>
      <c r="L1983" s="111"/>
    </row>
    <row r="1984" spans="1:12" ht="14.25" customHeight="1" x14ac:dyDescent="0.2">
      <c r="A1984" s="10"/>
      <c r="B1984" s="110" t="e">
        <f t="shared" ca="1" si="16"/>
        <v>#NAME?</v>
      </c>
      <c r="C1984" s="113"/>
      <c r="D1984" s="113"/>
      <c r="E1984" s="114"/>
      <c r="J1984" s="115"/>
      <c r="K1984" s="110"/>
      <c r="L1984" s="111"/>
    </row>
    <row r="1985" spans="1:14" ht="14.25" customHeight="1" x14ac:dyDescent="0.2">
      <c r="A1985" s="10"/>
      <c r="B1985" s="110" t="e">
        <f t="shared" ca="1" si="16"/>
        <v>#NAME?</v>
      </c>
      <c r="C1985" s="113"/>
      <c r="D1985" s="113"/>
      <c r="E1985" s="114"/>
      <c r="J1985" s="115"/>
      <c r="K1985" s="110"/>
      <c r="L1985" s="111"/>
      <c r="M1985" s="116"/>
    </row>
    <row r="1986" spans="1:14" ht="14.25" customHeight="1" x14ac:dyDescent="0.2">
      <c r="A1986" s="10"/>
      <c r="B1986" s="110" t="e">
        <f t="shared" ca="1" si="16"/>
        <v>#NAME?</v>
      </c>
      <c r="C1986" s="113"/>
      <c r="D1986" s="113"/>
      <c r="E1986" s="114"/>
      <c r="J1986" s="115"/>
      <c r="K1986" s="110"/>
      <c r="L1986" s="111"/>
    </row>
    <row r="1987" spans="1:14" ht="14.25" customHeight="1" x14ac:dyDescent="0.2">
      <c r="A1987" s="10"/>
      <c r="B1987" s="110" t="e">
        <f t="shared" ca="1" si="16"/>
        <v>#NAME?</v>
      </c>
      <c r="C1987" s="113"/>
      <c r="D1987" s="113"/>
      <c r="E1987" s="114"/>
      <c r="J1987" s="115"/>
      <c r="K1987" s="110"/>
      <c r="L1987" s="111"/>
    </row>
    <row r="1988" spans="1:14" ht="14.25" customHeight="1" x14ac:dyDescent="0.2">
      <c r="A1988" s="10"/>
      <c r="B1988" s="110" t="e">
        <f t="shared" ca="1" si="16"/>
        <v>#NAME?</v>
      </c>
      <c r="C1988" s="113"/>
      <c r="D1988" s="113"/>
      <c r="E1988" s="114"/>
      <c r="J1988" s="115"/>
      <c r="K1988" s="110"/>
      <c r="L1988" s="111"/>
    </row>
    <row r="1989" spans="1:14" ht="14.25" customHeight="1" x14ac:dyDescent="0.2">
      <c r="A1989" s="10"/>
      <c r="B1989" s="110" t="e">
        <f t="shared" ca="1" si="16"/>
        <v>#NAME?</v>
      </c>
      <c r="C1989" s="113"/>
      <c r="D1989" s="113"/>
      <c r="E1989" s="114"/>
      <c r="J1989" s="115"/>
      <c r="K1989" s="110"/>
      <c r="L1989" s="111"/>
      <c r="N1989" s="116"/>
    </row>
    <row r="1990" spans="1:14" ht="14.25" customHeight="1" x14ac:dyDescent="0.2">
      <c r="A1990" s="10"/>
      <c r="B1990" s="110" t="e">
        <f t="shared" ca="1" si="16"/>
        <v>#NAME?</v>
      </c>
      <c r="C1990" s="113"/>
      <c r="D1990" s="113"/>
      <c r="E1990" s="114"/>
      <c r="J1990" s="115"/>
      <c r="K1990" s="110"/>
      <c r="L1990" s="111"/>
    </row>
    <row r="1991" spans="1:14" ht="14.25" customHeight="1" x14ac:dyDescent="0.2">
      <c r="A1991" s="10"/>
      <c r="B1991" s="110" t="e">
        <f t="shared" ca="1" si="16"/>
        <v>#NAME?</v>
      </c>
      <c r="C1991" s="113"/>
      <c r="D1991" s="113"/>
      <c r="E1991" s="114"/>
      <c r="J1991" s="115"/>
      <c r="K1991" s="110"/>
      <c r="L1991" s="111"/>
    </row>
    <row r="1992" spans="1:14" ht="14.25" customHeight="1" x14ac:dyDescent="0.2">
      <c r="A1992" s="10"/>
      <c r="B1992" s="110" t="e">
        <f t="shared" ca="1" si="16"/>
        <v>#NAME?</v>
      </c>
      <c r="C1992" s="113"/>
      <c r="D1992" s="113"/>
      <c r="E1992" s="114"/>
      <c r="J1992" s="115"/>
      <c r="K1992" s="110"/>
      <c r="L1992" s="111"/>
    </row>
    <row r="1993" spans="1:14" ht="14.25" customHeight="1" x14ac:dyDescent="0.2">
      <c r="A1993" s="10"/>
      <c r="B1993" s="110" t="e">
        <f t="shared" ca="1" si="16"/>
        <v>#NAME?</v>
      </c>
      <c r="C1993" s="113"/>
      <c r="D1993" s="113"/>
      <c r="E1993" s="114"/>
      <c r="J1993" s="115"/>
      <c r="K1993" s="110"/>
      <c r="L1993" s="111"/>
    </row>
    <row r="1994" spans="1:14" ht="14.25" customHeight="1" x14ac:dyDescent="0.2">
      <c r="A1994" s="10"/>
      <c r="B1994" s="110" t="e">
        <f t="shared" ca="1" si="16"/>
        <v>#NAME?</v>
      </c>
      <c r="C1994" s="113"/>
      <c r="D1994" s="113"/>
      <c r="E1994" s="114"/>
      <c r="J1994" s="115"/>
      <c r="K1994" s="110"/>
      <c r="L1994" s="111"/>
    </row>
    <row r="1995" spans="1:14" ht="14.25" customHeight="1" x14ac:dyDescent="0.2">
      <c r="A1995" s="10"/>
      <c r="B1995" s="110" t="e">
        <f t="shared" ca="1" si="16"/>
        <v>#NAME?</v>
      </c>
      <c r="C1995" s="113"/>
      <c r="D1995" s="113"/>
      <c r="E1995" s="114"/>
      <c r="J1995" s="115"/>
      <c r="K1995" s="110"/>
      <c r="L1995" s="111"/>
    </row>
    <row r="1996" spans="1:14" ht="14.25" customHeight="1" x14ac:dyDescent="0.2">
      <c r="A1996" s="10"/>
      <c r="B1996" s="110" t="e">
        <f t="shared" ca="1" si="16"/>
        <v>#NAME?</v>
      </c>
      <c r="C1996" s="113"/>
      <c r="D1996" s="113"/>
      <c r="E1996" s="114"/>
      <c r="J1996" s="115"/>
      <c r="K1996" s="110"/>
      <c r="L1996" s="111"/>
    </row>
    <row r="1997" spans="1:14" ht="14.25" customHeight="1" x14ac:dyDescent="0.2">
      <c r="A1997" s="10"/>
      <c r="B1997" s="110" t="e">
        <f t="shared" ca="1" si="16"/>
        <v>#NAME?</v>
      </c>
      <c r="C1997" s="113"/>
      <c r="D1997" s="113"/>
      <c r="E1997" s="114"/>
      <c r="J1997" s="115"/>
      <c r="K1997" s="110"/>
      <c r="L1997" s="111"/>
    </row>
    <row r="1998" spans="1:14" ht="14.25" customHeight="1" x14ac:dyDescent="0.2">
      <c r="A1998" s="10"/>
      <c r="B1998" s="110" t="e">
        <f t="shared" ca="1" si="16"/>
        <v>#NAME?</v>
      </c>
      <c r="C1998" s="113"/>
      <c r="D1998" s="113"/>
      <c r="E1998" s="114"/>
      <c r="J1998" s="115"/>
      <c r="K1998" s="110"/>
      <c r="L1998" s="111"/>
    </row>
    <row r="1999" spans="1:14" ht="14.25" customHeight="1" x14ac:dyDescent="0.2">
      <c r="A1999" s="10"/>
      <c r="B1999" s="110" t="e">
        <f t="shared" ca="1" si="16"/>
        <v>#NAME?</v>
      </c>
      <c r="C1999" s="113"/>
      <c r="D1999" s="113"/>
      <c r="E1999" s="114"/>
      <c r="J1999" s="115"/>
      <c r="K1999" s="110"/>
      <c r="L1999" s="111"/>
    </row>
    <row r="2000" spans="1:14" ht="14.25" customHeight="1" x14ac:dyDescent="0.2">
      <c r="A2000" s="10"/>
      <c r="B2000" s="110" t="e">
        <f t="shared" ca="1" si="16"/>
        <v>#NAME?</v>
      </c>
      <c r="C2000" s="113"/>
      <c r="D2000" s="113"/>
      <c r="E2000" s="114"/>
      <c r="J2000" s="115"/>
      <c r="K2000" s="110"/>
      <c r="L2000" s="111"/>
    </row>
    <row r="2001" spans="1:12" ht="14.25" customHeight="1" x14ac:dyDescent="0.2">
      <c r="A2001" s="10"/>
      <c r="B2001" s="110" t="e">
        <f t="shared" ca="1" si="16"/>
        <v>#NAME?</v>
      </c>
      <c r="C2001" s="113"/>
      <c r="D2001" s="113"/>
      <c r="E2001" s="114"/>
      <c r="J2001" s="115"/>
      <c r="K2001" s="110"/>
      <c r="L2001" s="111"/>
    </row>
    <row r="2002" spans="1:12" ht="14.25" customHeight="1" x14ac:dyDescent="0.2">
      <c r="A2002" s="10"/>
      <c r="B2002" s="110" t="e">
        <f t="shared" ca="1" si="16"/>
        <v>#NAME?</v>
      </c>
      <c r="C2002" s="113"/>
      <c r="D2002" s="113"/>
      <c r="E2002" s="114"/>
      <c r="J2002" s="115"/>
      <c r="K2002" s="110"/>
      <c r="L2002" s="111"/>
    </row>
    <row r="2003" spans="1:12" ht="14.25" customHeight="1" x14ac:dyDescent="0.2">
      <c r="A2003" s="10"/>
      <c r="B2003" s="110" t="e">
        <f t="shared" ca="1" si="16"/>
        <v>#NAME?</v>
      </c>
      <c r="C2003" s="113"/>
      <c r="D2003" s="113"/>
      <c r="E2003" s="114"/>
      <c r="J2003" s="115"/>
      <c r="K2003" s="110"/>
      <c r="L2003" s="111"/>
    </row>
    <row r="2004" spans="1:12" ht="14.25" customHeight="1" x14ac:dyDescent="0.2">
      <c r="A2004" s="10"/>
      <c r="B2004" s="110" t="e">
        <f t="shared" ca="1" si="16"/>
        <v>#NAME?</v>
      </c>
      <c r="C2004" s="113"/>
      <c r="D2004" s="113"/>
      <c r="E2004" s="114"/>
      <c r="J2004" s="115"/>
      <c r="K2004" s="110"/>
      <c r="L2004" s="111"/>
    </row>
    <row r="2005" spans="1:12" ht="14.25" customHeight="1" x14ac:dyDescent="0.2">
      <c r="A2005" s="10"/>
      <c r="B2005" s="110" t="e">
        <f t="shared" ca="1" si="16"/>
        <v>#NAME?</v>
      </c>
      <c r="C2005" s="113"/>
      <c r="D2005" s="113"/>
      <c r="E2005" s="114"/>
      <c r="J2005" s="115"/>
      <c r="K2005" s="110"/>
      <c r="L2005" s="111"/>
    </row>
    <row r="2006" spans="1:12" ht="14.25" customHeight="1" x14ac:dyDescent="0.2">
      <c r="A2006" s="10"/>
      <c r="B2006" s="110" t="e">
        <f t="shared" ca="1" si="16"/>
        <v>#NAME?</v>
      </c>
      <c r="C2006" s="113"/>
      <c r="D2006" s="113"/>
      <c r="E2006" s="114"/>
      <c r="J2006" s="115"/>
      <c r="K2006" s="110"/>
      <c r="L2006" s="111"/>
    </row>
    <row r="2007" spans="1:12" ht="14.25" customHeight="1" x14ac:dyDescent="0.2">
      <c r="A2007" s="10"/>
      <c r="B2007" s="110" t="e">
        <f t="shared" ca="1" si="16"/>
        <v>#NAME?</v>
      </c>
      <c r="C2007" s="113"/>
      <c r="D2007" s="113"/>
      <c r="E2007" s="114"/>
      <c r="J2007" s="115"/>
      <c r="K2007" s="110"/>
      <c r="L2007" s="111"/>
    </row>
    <row r="2008" spans="1:12" ht="14.25" customHeight="1" x14ac:dyDescent="0.2">
      <c r="A2008" s="10"/>
      <c r="B2008" s="110" t="e">
        <f t="shared" ca="1" si="16"/>
        <v>#NAME?</v>
      </c>
      <c r="C2008" s="113"/>
      <c r="D2008" s="113"/>
      <c r="E2008" s="114"/>
      <c r="J2008" s="115"/>
      <c r="K2008" s="110"/>
      <c r="L2008" s="111"/>
    </row>
    <row r="2009" spans="1:12" ht="14.25" customHeight="1" x14ac:dyDescent="0.2">
      <c r="A2009" s="10"/>
      <c r="B2009" s="110" t="e">
        <f t="shared" ca="1" si="16"/>
        <v>#NAME?</v>
      </c>
      <c r="C2009" s="113"/>
      <c r="D2009" s="113"/>
      <c r="E2009" s="114"/>
      <c r="J2009" s="115"/>
      <c r="K2009" s="110"/>
      <c r="L2009" s="111"/>
    </row>
    <row r="2010" spans="1:12" ht="14.25" customHeight="1" x14ac:dyDescent="0.2">
      <c r="A2010" s="10"/>
      <c r="B2010" s="110" t="e">
        <f t="shared" ca="1" si="16"/>
        <v>#NAME?</v>
      </c>
      <c r="C2010" s="113"/>
      <c r="D2010" s="113"/>
      <c r="E2010" s="114"/>
      <c r="K2010" s="110"/>
      <c r="L2010" s="111"/>
    </row>
    <row r="2011" spans="1:12" ht="14.25" customHeight="1" x14ac:dyDescent="0.2">
      <c r="A2011" s="10"/>
      <c r="B2011" s="110" t="e">
        <f t="shared" ca="1" si="16"/>
        <v>#NAME?</v>
      </c>
      <c r="C2011" s="113"/>
      <c r="D2011" s="113"/>
      <c r="E2011" s="114"/>
      <c r="K2011" s="110"/>
      <c r="L2011" s="111"/>
    </row>
    <row r="2012" spans="1:12" ht="14.25" customHeight="1" x14ac:dyDescent="0.2">
      <c r="A2012" s="10"/>
      <c r="B2012" s="110" t="e">
        <f t="shared" ca="1" si="16"/>
        <v>#NAME?</v>
      </c>
      <c r="C2012" s="113"/>
      <c r="D2012" s="113"/>
      <c r="E2012" s="114"/>
      <c r="K2012" s="110"/>
      <c r="L2012" s="111"/>
    </row>
    <row r="2013" spans="1:12" ht="14.25" customHeight="1" x14ac:dyDescent="0.2">
      <c r="A2013" s="10"/>
      <c r="B2013" s="110" t="e">
        <f t="shared" ca="1" si="16"/>
        <v>#NAME?</v>
      </c>
      <c r="C2013" s="113"/>
      <c r="D2013" s="113"/>
      <c r="E2013" s="114"/>
      <c r="K2013" s="110"/>
      <c r="L2013" s="111"/>
    </row>
    <row r="2014" spans="1:12" ht="14.25" customHeight="1" x14ac:dyDescent="0.2">
      <c r="A2014" s="10"/>
      <c r="B2014" s="110" t="e">
        <f t="shared" ca="1" si="16"/>
        <v>#NAME?</v>
      </c>
      <c r="C2014" s="113"/>
      <c r="D2014" s="113"/>
      <c r="E2014" s="114"/>
      <c r="K2014" s="110"/>
      <c r="L2014" s="111"/>
    </row>
    <row r="2015" spans="1:12" ht="14.25" customHeight="1" x14ac:dyDescent="0.2">
      <c r="A2015" s="10"/>
      <c r="B2015" s="110" t="e">
        <f t="shared" ca="1" si="16"/>
        <v>#NAME?</v>
      </c>
      <c r="C2015" s="113"/>
      <c r="D2015" s="113"/>
      <c r="E2015" s="114"/>
      <c r="K2015" s="110"/>
      <c r="L2015" s="111"/>
    </row>
    <row r="2016" spans="1:12" ht="14.25" customHeight="1" x14ac:dyDescent="0.2">
      <c r="A2016" s="10"/>
      <c r="B2016" s="110" t="e">
        <f t="shared" ca="1" si="16"/>
        <v>#NAME?</v>
      </c>
      <c r="C2016" s="113"/>
      <c r="D2016" s="113"/>
      <c r="E2016" s="114"/>
      <c r="K2016" s="110"/>
      <c r="L2016" s="111"/>
    </row>
    <row r="2017" spans="1:15" ht="14.25" customHeight="1" x14ac:dyDescent="0.2">
      <c r="A2017" s="10"/>
      <c r="B2017" s="110" t="e">
        <f t="shared" ca="1" si="16"/>
        <v>#NAME?</v>
      </c>
      <c r="C2017" s="113"/>
      <c r="D2017" s="113"/>
      <c r="E2017" s="114"/>
      <c r="K2017" s="110"/>
      <c r="L2017" s="111"/>
    </row>
    <row r="2018" spans="1:15" ht="14.25" customHeight="1" x14ac:dyDescent="0.2">
      <c r="A2018" s="10"/>
      <c r="B2018" s="110" t="e">
        <f t="shared" ca="1" si="16"/>
        <v>#NAME?</v>
      </c>
      <c r="C2018" s="113"/>
      <c r="D2018" s="113"/>
      <c r="E2018" s="114"/>
      <c r="K2018" s="110"/>
      <c r="L2018" s="111"/>
    </row>
    <row r="2019" spans="1:15" ht="14.25" customHeight="1" x14ac:dyDescent="0.2">
      <c r="A2019" s="10"/>
      <c r="B2019" s="110" t="e">
        <f t="shared" ca="1" si="16"/>
        <v>#NAME?</v>
      </c>
      <c r="C2019" s="113"/>
      <c r="D2019" s="113"/>
      <c r="E2019" s="114"/>
      <c r="K2019" s="110"/>
      <c r="L2019" s="111"/>
    </row>
    <row r="2020" spans="1:15" ht="14.25" customHeight="1" x14ac:dyDescent="0.2">
      <c r="A2020" s="10"/>
      <c r="B2020" s="110" t="e">
        <f t="shared" ca="1" si="16"/>
        <v>#NAME?</v>
      </c>
      <c r="C2020" s="113"/>
      <c r="D2020" s="113"/>
      <c r="E2020" s="114"/>
      <c r="K2020" s="110"/>
      <c r="L2020" s="111"/>
    </row>
    <row r="2021" spans="1:15" ht="14.25" customHeight="1" x14ac:dyDescent="0.2">
      <c r="A2021" s="10"/>
      <c r="B2021" s="110" t="e">
        <f t="shared" ca="1" si="16"/>
        <v>#NAME?</v>
      </c>
      <c r="C2021" s="113"/>
      <c r="D2021" s="113"/>
      <c r="E2021" s="114"/>
      <c r="K2021" s="110"/>
      <c r="L2021" s="111"/>
    </row>
    <row r="2022" spans="1:15" ht="14.25" customHeight="1" x14ac:dyDescent="0.2">
      <c r="A2022" s="10"/>
      <c r="B2022" s="110" t="e">
        <f t="shared" ca="1" si="16"/>
        <v>#NAME?</v>
      </c>
      <c r="C2022" s="113"/>
      <c r="D2022" s="113"/>
      <c r="E2022" s="114"/>
      <c r="K2022" s="110"/>
      <c r="L2022" s="111"/>
    </row>
    <row r="2023" spans="1:15" ht="14.25" customHeight="1" x14ac:dyDescent="0.2">
      <c r="A2023" s="10"/>
      <c r="B2023" s="110" t="e">
        <f t="shared" ca="1" si="16"/>
        <v>#NAME?</v>
      </c>
      <c r="C2023" s="113"/>
      <c r="D2023" s="113"/>
      <c r="E2023" s="114"/>
      <c r="K2023" s="110"/>
      <c r="L2023" s="111"/>
    </row>
    <row r="2024" spans="1:15" ht="14.25" customHeight="1" x14ac:dyDescent="0.2">
      <c r="A2024" s="10"/>
      <c r="B2024" s="110" t="e">
        <f t="shared" ca="1" si="16"/>
        <v>#NAME?</v>
      </c>
      <c r="C2024" s="113"/>
      <c r="D2024" s="113"/>
      <c r="E2024" s="114"/>
      <c r="K2024" s="110"/>
      <c r="L2024" s="111"/>
      <c r="O2024" s="116"/>
    </row>
    <row r="2025" spans="1:15" ht="14.25" customHeight="1" x14ac:dyDescent="0.2">
      <c r="A2025" s="10"/>
      <c r="B2025" s="110" t="e">
        <f t="shared" ca="1" si="16"/>
        <v>#NAME?</v>
      </c>
      <c r="C2025" s="113"/>
      <c r="D2025" s="113"/>
      <c r="E2025" s="114"/>
      <c r="K2025" s="110"/>
      <c r="L2025" s="111"/>
    </row>
    <row r="2026" spans="1:15" ht="14.25" customHeight="1" x14ac:dyDescent="0.2">
      <c r="A2026" s="10"/>
      <c r="B2026" s="110" t="e">
        <f t="shared" ca="1" si="16"/>
        <v>#NAME?</v>
      </c>
      <c r="C2026" s="113"/>
      <c r="D2026" s="113"/>
      <c r="E2026" s="114"/>
      <c r="K2026" s="110"/>
      <c r="L2026" s="111"/>
    </row>
    <row r="2027" spans="1:15" ht="14.25" customHeight="1" x14ac:dyDescent="0.2">
      <c r="A2027" s="10"/>
      <c r="B2027" s="110" t="e">
        <f t="shared" ca="1" si="16"/>
        <v>#NAME?</v>
      </c>
      <c r="C2027" s="113"/>
      <c r="D2027" s="113"/>
      <c r="E2027" s="114"/>
      <c r="K2027" s="110"/>
      <c r="L2027" s="111"/>
    </row>
    <row r="2028" spans="1:15" ht="14.25" customHeight="1" x14ac:dyDescent="0.2">
      <c r="A2028" s="10"/>
      <c r="B2028" s="110" t="e">
        <f t="shared" ca="1" si="16"/>
        <v>#NAME?</v>
      </c>
      <c r="C2028" s="113"/>
      <c r="D2028" s="113"/>
      <c r="E2028" s="114"/>
      <c r="K2028" s="110"/>
      <c r="L2028" s="111"/>
    </row>
    <row r="2029" spans="1:15" ht="14.25" customHeight="1" x14ac:dyDescent="0.2">
      <c r="A2029" s="10"/>
      <c r="B2029" s="110" t="e">
        <f t="shared" ca="1" si="16"/>
        <v>#NAME?</v>
      </c>
      <c r="C2029" s="113"/>
      <c r="D2029" s="113"/>
      <c r="E2029" s="114"/>
      <c r="K2029" s="110"/>
      <c r="L2029" s="111"/>
    </row>
    <row r="2030" spans="1:15" ht="14.25" customHeight="1" x14ac:dyDescent="0.2">
      <c r="A2030" s="10"/>
      <c r="B2030" s="110" t="e">
        <f t="shared" ca="1" si="16"/>
        <v>#NAME?</v>
      </c>
      <c r="C2030" s="113"/>
      <c r="D2030" s="113"/>
      <c r="E2030" s="114"/>
      <c r="K2030" s="110"/>
      <c r="L2030" s="111"/>
    </row>
    <row r="2031" spans="1:15" ht="14.25" customHeight="1" x14ac:dyDescent="0.2">
      <c r="A2031" s="10"/>
      <c r="B2031" s="110" t="e">
        <f t="shared" ca="1" si="16"/>
        <v>#NAME?</v>
      </c>
      <c r="C2031" s="113"/>
      <c r="D2031" s="113"/>
      <c r="E2031" s="114"/>
      <c r="K2031" s="110"/>
      <c r="L2031" s="111"/>
    </row>
    <row r="2032" spans="1:15" ht="14.25" customHeight="1" x14ac:dyDescent="0.2">
      <c r="A2032" s="10"/>
      <c r="B2032" s="110" t="e">
        <f t="shared" ca="1" si="16"/>
        <v>#NAME?</v>
      </c>
      <c r="C2032" s="113"/>
      <c r="D2032" s="113"/>
      <c r="E2032" s="114"/>
      <c r="K2032" s="110"/>
      <c r="L2032" s="111"/>
    </row>
    <row r="2033" spans="1:13" ht="14.25" customHeight="1" x14ac:dyDescent="0.2">
      <c r="A2033" s="10"/>
      <c r="B2033" s="110" t="e">
        <f t="shared" ca="1" si="16"/>
        <v>#NAME?</v>
      </c>
      <c r="C2033" s="113"/>
      <c r="D2033" s="113"/>
      <c r="E2033" s="114"/>
      <c r="K2033" s="110"/>
      <c r="L2033" s="111"/>
    </row>
    <row r="2034" spans="1:13" ht="14.25" customHeight="1" x14ac:dyDescent="0.2">
      <c r="A2034" s="10"/>
      <c r="B2034" s="110" t="e">
        <f t="shared" ca="1" si="16"/>
        <v>#NAME?</v>
      </c>
      <c r="C2034" s="113"/>
      <c r="D2034" s="113"/>
      <c r="E2034" s="114"/>
      <c r="K2034" s="110"/>
      <c r="L2034" s="111"/>
      <c r="M2034" s="116"/>
    </row>
    <row r="2035" spans="1:13" ht="14.25" customHeight="1" x14ac:dyDescent="0.2">
      <c r="A2035" s="10"/>
      <c r="B2035" s="110" t="e">
        <f t="shared" ca="1" si="16"/>
        <v>#NAME?</v>
      </c>
      <c r="C2035" s="113"/>
      <c r="D2035" s="113"/>
      <c r="E2035" s="114"/>
      <c r="K2035" s="110"/>
      <c r="L2035" s="111"/>
    </row>
    <row r="2036" spans="1:13" ht="14.25" customHeight="1" x14ac:dyDescent="0.2">
      <c r="A2036" s="10"/>
      <c r="B2036" s="110" t="e">
        <f t="shared" ca="1" si="16"/>
        <v>#NAME?</v>
      </c>
      <c r="C2036" s="113"/>
      <c r="D2036" s="113"/>
      <c r="E2036" s="114"/>
      <c r="K2036" s="110"/>
      <c r="L2036" s="111"/>
    </row>
    <row r="2037" spans="1:13" ht="14.25" customHeight="1" x14ac:dyDescent="0.2">
      <c r="A2037" s="10"/>
      <c r="B2037" s="110" t="e">
        <f t="shared" ca="1" si="16"/>
        <v>#NAME?</v>
      </c>
      <c r="C2037" s="113"/>
      <c r="D2037" s="113"/>
      <c r="E2037" s="114"/>
      <c r="K2037" s="110"/>
      <c r="L2037" s="111"/>
    </row>
    <row r="2038" spans="1:13" ht="14.25" customHeight="1" x14ac:dyDescent="0.2">
      <c r="A2038" s="10"/>
      <c r="B2038" s="110" t="e">
        <f t="shared" ca="1" si="16"/>
        <v>#NAME?</v>
      </c>
      <c r="C2038" s="113"/>
      <c r="D2038" s="113"/>
      <c r="E2038" s="114"/>
      <c r="K2038" s="110"/>
      <c r="L2038" s="111"/>
    </row>
    <row r="2039" spans="1:13" ht="14.25" customHeight="1" x14ac:dyDescent="0.2">
      <c r="A2039" s="10"/>
      <c r="B2039" s="110" t="e">
        <f t="shared" ca="1" si="16"/>
        <v>#NAME?</v>
      </c>
      <c r="C2039" s="113"/>
      <c r="D2039" s="113"/>
      <c r="E2039" s="114"/>
      <c r="K2039" s="110"/>
      <c r="L2039" s="111"/>
    </row>
    <row r="2040" spans="1:13" ht="14.25" customHeight="1" x14ac:dyDescent="0.2">
      <c r="A2040" s="10"/>
      <c r="B2040" s="110" t="e">
        <f t="shared" ca="1" si="16"/>
        <v>#NAME?</v>
      </c>
      <c r="C2040" s="113"/>
      <c r="D2040" s="113"/>
      <c r="E2040" s="114"/>
      <c r="K2040" s="110"/>
      <c r="L2040" s="111"/>
    </row>
    <row r="2041" spans="1:13" ht="14.25" customHeight="1" x14ac:dyDescent="0.2">
      <c r="A2041" s="10"/>
      <c r="B2041" s="110" t="e">
        <f t="shared" ca="1" si="16"/>
        <v>#NAME?</v>
      </c>
      <c r="C2041" s="113"/>
      <c r="D2041" s="113"/>
      <c r="E2041" s="114"/>
      <c r="K2041" s="110"/>
      <c r="L2041" s="111"/>
    </row>
    <row r="2042" spans="1:13" ht="14.25" customHeight="1" x14ac:dyDescent="0.2">
      <c r="A2042" s="10"/>
      <c r="B2042" s="110" t="e">
        <f t="shared" ca="1" si="16"/>
        <v>#NAME?</v>
      </c>
      <c r="C2042" s="113"/>
      <c r="D2042" s="113"/>
      <c r="E2042" s="114"/>
      <c r="K2042" s="110"/>
      <c r="L2042" s="111"/>
    </row>
    <row r="2043" spans="1:13" ht="14.25" customHeight="1" x14ac:dyDescent="0.2">
      <c r="A2043" s="10"/>
      <c r="B2043" s="110" t="e">
        <f t="shared" ca="1" si="16"/>
        <v>#NAME?</v>
      </c>
      <c r="C2043" s="113"/>
      <c r="D2043" s="113"/>
      <c r="E2043" s="114"/>
      <c r="K2043" s="110"/>
      <c r="L2043" s="111"/>
    </row>
    <row r="2044" spans="1:13" ht="14.25" customHeight="1" x14ac:dyDescent="0.2">
      <c r="A2044" s="10"/>
      <c r="B2044" s="110" t="e">
        <f t="shared" ca="1" si="16"/>
        <v>#NAME?</v>
      </c>
      <c r="C2044" s="113"/>
      <c r="D2044" s="113"/>
      <c r="E2044" s="114"/>
      <c r="K2044" s="110"/>
      <c r="L2044" s="111"/>
    </row>
    <row r="2045" spans="1:13" ht="14.25" customHeight="1" x14ac:dyDescent="0.2">
      <c r="A2045" s="10"/>
      <c r="B2045" s="110" t="e">
        <f t="shared" ca="1" si="16"/>
        <v>#NAME?</v>
      </c>
      <c r="C2045" s="113"/>
      <c r="D2045" s="113"/>
      <c r="E2045" s="114"/>
      <c r="K2045" s="110"/>
      <c r="L2045" s="111"/>
    </row>
    <row r="2046" spans="1:13" ht="14.25" customHeight="1" x14ac:dyDescent="0.2">
      <c r="A2046" s="10"/>
      <c r="B2046" s="110" t="e">
        <f t="shared" ca="1" si="16"/>
        <v>#NAME?</v>
      </c>
      <c r="C2046" s="113"/>
      <c r="D2046" s="113"/>
      <c r="E2046" s="114"/>
      <c r="K2046" s="110"/>
      <c r="L2046" s="111"/>
    </row>
    <row r="2047" spans="1:13" ht="14.25" customHeight="1" x14ac:dyDescent="0.2">
      <c r="A2047" s="10"/>
      <c r="B2047" s="110" t="e">
        <f t="shared" ca="1" si="16"/>
        <v>#NAME?</v>
      </c>
      <c r="C2047" s="113"/>
      <c r="D2047" s="113"/>
      <c r="E2047" s="114"/>
      <c r="K2047" s="110"/>
      <c r="L2047" s="111"/>
    </row>
    <row r="2048" spans="1:13" ht="14.25" customHeight="1" x14ac:dyDescent="0.2">
      <c r="A2048" s="10"/>
      <c r="B2048" s="110" t="e">
        <f t="shared" ca="1" si="16"/>
        <v>#NAME?</v>
      </c>
      <c r="C2048" s="113"/>
      <c r="D2048" s="113"/>
      <c r="E2048" s="114"/>
      <c r="K2048" s="110"/>
      <c r="L2048" s="111"/>
    </row>
    <row r="2049" spans="1:13" ht="14.25" customHeight="1" x14ac:dyDescent="0.2">
      <c r="A2049" s="10"/>
      <c r="B2049" s="110" t="e">
        <f t="shared" ca="1" si="16"/>
        <v>#NAME?</v>
      </c>
      <c r="C2049" s="113"/>
      <c r="D2049" s="113"/>
      <c r="E2049" s="114"/>
      <c r="K2049" s="110"/>
      <c r="L2049" s="111"/>
    </row>
    <row r="2050" spans="1:13" ht="14.25" customHeight="1" x14ac:dyDescent="0.2">
      <c r="A2050" s="10"/>
      <c r="B2050" s="110" t="e">
        <f t="shared" ca="1" si="16"/>
        <v>#NAME?</v>
      </c>
      <c r="C2050" s="113"/>
      <c r="D2050" s="113"/>
      <c r="E2050" s="114"/>
      <c r="K2050" s="110"/>
      <c r="L2050" s="111"/>
    </row>
    <row r="2051" spans="1:13" ht="14.25" customHeight="1" x14ac:dyDescent="0.2">
      <c r="A2051" s="10"/>
      <c r="B2051" s="110" t="e">
        <f t="shared" ca="1" si="16"/>
        <v>#NAME?</v>
      </c>
      <c r="C2051" s="113"/>
      <c r="D2051" s="113"/>
      <c r="E2051" s="114"/>
      <c r="K2051" s="110"/>
      <c r="L2051" s="111"/>
    </row>
    <row r="2052" spans="1:13" ht="14.25" customHeight="1" x14ac:dyDescent="0.2">
      <c r="A2052" s="10"/>
      <c r="B2052" s="110" t="e">
        <f t="shared" ca="1" si="16"/>
        <v>#NAME?</v>
      </c>
      <c r="C2052" s="113"/>
      <c r="D2052" s="113"/>
      <c r="E2052" s="114"/>
      <c r="K2052" s="110"/>
      <c r="L2052" s="111"/>
    </row>
    <row r="2053" spans="1:13" ht="14.25" customHeight="1" x14ac:dyDescent="0.2">
      <c r="A2053" s="10"/>
      <c r="B2053" s="110" t="e">
        <f t="shared" ca="1" si="16"/>
        <v>#NAME?</v>
      </c>
      <c r="C2053" s="113"/>
      <c r="D2053" s="113"/>
      <c r="E2053" s="114"/>
      <c r="K2053" s="110"/>
      <c r="L2053" s="111"/>
    </row>
    <row r="2054" spans="1:13" ht="14.25" customHeight="1" x14ac:dyDescent="0.2">
      <c r="A2054" s="10"/>
      <c r="B2054" s="110" t="e">
        <f t="shared" ca="1" si="16"/>
        <v>#NAME?</v>
      </c>
      <c r="C2054" s="113"/>
      <c r="D2054" s="113"/>
      <c r="E2054" s="114"/>
      <c r="K2054" s="110"/>
      <c r="L2054" s="111"/>
    </row>
    <row r="2055" spans="1:13" ht="14.25" customHeight="1" x14ac:dyDescent="0.2">
      <c r="A2055" s="10"/>
      <c r="B2055" s="110" t="e">
        <f t="shared" ca="1" si="16"/>
        <v>#NAME?</v>
      </c>
      <c r="C2055" s="113"/>
      <c r="D2055" s="113"/>
      <c r="E2055" s="114"/>
      <c r="K2055" s="110"/>
      <c r="L2055" s="111"/>
    </row>
    <row r="2056" spans="1:13" ht="14.25" customHeight="1" x14ac:dyDescent="0.2">
      <c r="A2056" s="10"/>
      <c r="B2056" s="110" t="e">
        <f t="shared" ca="1" si="16"/>
        <v>#NAME?</v>
      </c>
      <c r="C2056" s="113"/>
      <c r="D2056" s="113"/>
      <c r="E2056" s="114"/>
      <c r="K2056" s="110"/>
      <c r="L2056" s="111"/>
    </row>
    <row r="2057" spans="1:13" ht="14.25" customHeight="1" x14ac:dyDescent="0.2">
      <c r="A2057" s="10"/>
      <c r="B2057" s="110" t="e">
        <f t="shared" ca="1" si="16"/>
        <v>#NAME?</v>
      </c>
      <c r="C2057" s="113"/>
      <c r="D2057" s="113"/>
      <c r="E2057" s="114"/>
      <c r="K2057" s="110"/>
      <c r="L2057" s="111"/>
    </row>
    <row r="2058" spans="1:13" ht="14.25" customHeight="1" x14ac:dyDescent="0.2">
      <c r="A2058" s="10"/>
      <c r="B2058" s="110" t="e">
        <f t="shared" ca="1" si="16"/>
        <v>#NAME?</v>
      </c>
      <c r="C2058" s="113"/>
      <c r="D2058" s="113"/>
      <c r="E2058" s="114"/>
      <c r="K2058" s="110"/>
      <c r="L2058" s="111"/>
    </row>
    <row r="2059" spans="1:13" ht="14.25" customHeight="1" x14ac:dyDescent="0.2">
      <c r="A2059" s="10"/>
      <c r="B2059" s="110" t="e">
        <f t="shared" ca="1" si="16"/>
        <v>#NAME?</v>
      </c>
      <c r="C2059" s="113"/>
      <c r="D2059" s="113"/>
      <c r="E2059" s="114"/>
      <c r="K2059" s="110"/>
      <c r="L2059" s="111"/>
    </row>
    <row r="2060" spans="1:13" ht="14.25" customHeight="1" x14ac:dyDescent="0.2">
      <c r="A2060" s="10"/>
      <c r="B2060" s="110" t="e">
        <f t="shared" ca="1" si="16"/>
        <v>#NAME?</v>
      </c>
      <c r="C2060" s="113"/>
      <c r="D2060" s="113"/>
      <c r="E2060" s="114"/>
      <c r="K2060" s="110"/>
      <c r="L2060" s="111"/>
    </row>
    <row r="2061" spans="1:13" ht="14.25" customHeight="1" x14ac:dyDescent="0.2">
      <c r="A2061" s="10"/>
      <c r="B2061" s="110" t="e">
        <f t="shared" ca="1" si="16"/>
        <v>#NAME?</v>
      </c>
      <c r="C2061" s="113"/>
      <c r="D2061" s="113"/>
      <c r="E2061" s="114"/>
      <c r="K2061" s="110"/>
      <c r="L2061" s="111"/>
      <c r="M2061" s="116"/>
    </row>
    <row r="2062" spans="1:13" ht="14.25" customHeight="1" x14ac:dyDescent="0.2">
      <c r="A2062" s="10"/>
      <c r="B2062" s="110" t="e">
        <f t="shared" ca="1" si="16"/>
        <v>#NAME?</v>
      </c>
      <c r="C2062" s="113"/>
      <c r="D2062" s="113"/>
      <c r="E2062" s="114"/>
      <c r="K2062" s="110"/>
      <c r="L2062" s="111"/>
    </row>
    <row r="2063" spans="1:13" ht="14.25" customHeight="1" x14ac:dyDescent="0.2">
      <c r="A2063" s="10"/>
      <c r="B2063" s="110" t="e">
        <f t="shared" ca="1" si="16"/>
        <v>#NAME?</v>
      </c>
      <c r="C2063" s="113"/>
      <c r="D2063" s="113"/>
      <c r="E2063" s="114"/>
      <c r="K2063" s="110"/>
      <c r="L2063" s="111"/>
    </row>
    <row r="2064" spans="1:13" ht="14.25" customHeight="1" x14ac:dyDescent="0.2">
      <c r="A2064" s="10"/>
      <c r="B2064" s="110" t="e">
        <f t="shared" ca="1" si="16"/>
        <v>#NAME?</v>
      </c>
      <c r="C2064" s="113"/>
      <c r="D2064" s="113"/>
      <c r="E2064" s="114"/>
      <c r="K2064" s="110"/>
      <c r="L2064" s="111"/>
    </row>
    <row r="2065" spans="1:13" ht="14.25" customHeight="1" x14ac:dyDescent="0.2">
      <c r="A2065" s="10"/>
      <c r="B2065" s="110" t="e">
        <f t="shared" ca="1" si="16"/>
        <v>#NAME?</v>
      </c>
      <c r="C2065" s="113"/>
      <c r="D2065" s="113"/>
      <c r="E2065" s="114"/>
      <c r="K2065" s="110"/>
      <c r="L2065" s="111"/>
    </row>
    <row r="2066" spans="1:13" ht="14.25" customHeight="1" x14ac:dyDescent="0.2">
      <c r="A2066" s="10"/>
      <c r="B2066" s="110" t="e">
        <f t="shared" ca="1" si="16"/>
        <v>#NAME?</v>
      </c>
      <c r="C2066" s="113"/>
      <c r="D2066" s="113"/>
      <c r="E2066" s="114"/>
      <c r="K2066" s="110"/>
      <c r="L2066" s="111"/>
    </row>
    <row r="2067" spans="1:13" ht="14.25" customHeight="1" x14ac:dyDescent="0.2">
      <c r="A2067" s="10"/>
      <c r="B2067" s="110" t="e">
        <f t="shared" ca="1" si="16"/>
        <v>#NAME?</v>
      </c>
      <c r="C2067" s="113"/>
      <c r="D2067" s="113"/>
      <c r="E2067" s="114"/>
      <c r="K2067" s="110"/>
      <c r="L2067" s="111"/>
    </row>
    <row r="2068" spans="1:13" ht="14.25" customHeight="1" x14ac:dyDescent="0.2">
      <c r="A2068" s="10"/>
      <c r="B2068" s="110" t="e">
        <f t="shared" ca="1" si="16"/>
        <v>#NAME?</v>
      </c>
      <c r="C2068" s="113"/>
      <c r="D2068" s="113"/>
      <c r="E2068" s="114"/>
      <c r="K2068" s="110"/>
      <c r="L2068" s="111"/>
    </row>
    <row r="2069" spans="1:13" ht="14.25" customHeight="1" x14ac:dyDescent="0.2">
      <c r="A2069" s="10"/>
      <c r="B2069" s="110" t="e">
        <f t="shared" ca="1" si="16"/>
        <v>#NAME?</v>
      </c>
      <c r="C2069" s="113"/>
      <c r="D2069" s="113"/>
      <c r="E2069" s="114"/>
      <c r="K2069" s="110"/>
      <c r="L2069" s="111"/>
    </row>
    <row r="2070" spans="1:13" ht="14.25" customHeight="1" x14ac:dyDescent="0.2">
      <c r="A2070" s="10"/>
      <c r="B2070" s="110" t="e">
        <f t="shared" ca="1" si="16"/>
        <v>#NAME?</v>
      </c>
      <c r="C2070" s="113"/>
      <c r="D2070" s="113"/>
      <c r="E2070" s="114"/>
      <c r="K2070" s="110"/>
      <c r="L2070" s="111"/>
      <c r="M2070" s="116"/>
    </row>
    <row r="2071" spans="1:13" ht="14.25" customHeight="1" x14ac:dyDescent="0.2">
      <c r="A2071" s="10"/>
      <c r="B2071" s="110" t="e">
        <f t="shared" ca="1" si="16"/>
        <v>#NAME?</v>
      </c>
      <c r="C2071" s="113"/>
      <c r="D2071" s="113"/>
      <c r="E2071" s="114"/>
      <c r="K2071" s="110"/>
      <c r="L2071" s="111"/>
    </row>
    <row r="2072" spans="1:13" ht="14.25" customHeight="1" x14ac:dyDescent="0.2">
      <c r="A2072" s="10"/>
      <c r="B2072" s="110" t="e">
        <f t="shared" ca="1" si="16"/>
        <v>#NAME?</v>
      </c>
      <c r="C2072" s="113"/>
      <c r="D2072" s="113"/>
      <c r="E2072" s="114"/>
      <c r="K2072" s="110"/>
      <c r="L2072" s="111"/>
    </row>
    <row r="2073" spans="1:13" ht="14.25" customHeight="1" x14ac:dyDescent="0.2">
      <c r="A2073" s="10"/>
      <c r="B2073" s="110" t="e">
        <f t="shared" ca="1" si="16"/>
        <v>#NAME?</v>
      </c>
      <c r="C2073" s="113"/>
      <c r="D2073" s="113"/>
      <c r="E2073" s="114"/>
      <c r="K2073" s="110"/>
      <c r="L2073" s="111"/>
    </row>
    <row r="2074" spans="1:13" ht="14.25" customHeight="1" x14ac:dyDescent="0.2">
      <c r="A2074" s="10"/>
      <c r="B2074" s="110" t="e">
        <f t="shared" ca="1" si="16"/>
        <v>#NAME?</v>
      </c>
      <c r="C2074" s="113"/>
      <c r="D2074" s="113"/>
      <c r="E2074" s="114"/>
      <c r="K2074" s="110"/>
      <c r="L2074" s="111"/>
    </row>
    <row r="2075" spans="1:13" ht="14.25" customHeight="1" x14ac:dyDescent="0.2">
      <c r="A2075" s="10"/>
      <c r="B2075" s="110" t="e">
        <f t="shared" ca="1" si="16"/>
        <v>#NAME?</v>
      </c>
      <c r="C2075" s="113"/>
      <c r="D2075" s="113"/>
      <c r="E2075" s="114"/>
      <c r="K2075" s="110"/>
      <c r="L2075" s="111"/>
    </row>
    <row r="2076" spans="1:13" ht="14.25" customHeight="1" x14ac:dyDescent="0.2">
      <c r="A2076" s="10"/>
      <c r="B2076" s="110" t="e">
        <f t="shared" ca="1" si="16"/>
        <v>#NAME?</v>
      </c>
      <c r="C2076" s="113"/>
      <c r="D2076" s="113"/>
      <c r="E2076" s="114"/>
      <c r="K2076" s="110"/>
      <c r="L2076" s="111"/>
    </row>
    <row r="2077" spans="1:13" ht="14.25" customHeight="1" x14ac:dyDescent="0.2">
      <c r="A2077" s="10"/>
      <c r="B2077" s="110" t="e">
        <f t="shared" ca="1" si="16"/>
        <v>#NAME?</v>
      </c>
      <c r="C2077" s="113"/>
      <c r="D2077" s="113"/>
      <c r="E2077" s="114"/>
      <c r="K2077" s="110"/>
      <c r="L2077" s="111"/>
    </row>
    <row r="2078" spans="1:13" ht="14.25" customHeight="1" x14ac:dyDescent="0.2">
      <c r="A2078" s="10"/>
      <c r="B2078" s="110" t="e">
        <f t="shared" ca="1" si="16"/>
        <v>#NAME?</v>
      </c>
      <c r="C2078" s="113"/>
      <c r="D2078" s="113"/>
      <c r="E2078" s="114"/>
      <c r="K2078" s="110"/>
      <c r="L2078" s="111"/>
    </row>
    <row r="2079" spans="1:13" ht="14.25" customHeight="1" x14ac:dyDescent="0.2">
      <c r="A2079" s="10"/>
      <c r="B2079" s="110" t="e">
        <f t="shared" ca="1" si="16"/>
        <v>#NAME?</v>
      </c>
      <c r="C2079" s="113"/>
      <c r="D2079" s="113"/>
      <c r="E2079" s="114"/>
      <c r="K2079" s="110"/>
      <c r="L2079" s="111"/>
    </row>
    <row r="2080" spans="1:13" ht="14.25" customHeight="1" x14ac:dyDescent="0.2">
      <c r="A2080" s="10"/>
      <c r="B2080" s="110" t="e">
        <f t="shared" ca="1" si="16"/>
        <v>#NAME?</v>
      </c>
      <c r="C2080" s="113"/>
      <c r="D2080" s="113"/>
      <c r="E2080" s="114"/>
      <c r="K2080" s="110"/>
      <c r="L2080" s="111"/>
    </row>
    <row r="2081" spans="1:15" ht="14.25" customHeight="1" x14ac:dyDescent="0.2">
      <c r="A2081" s="10"/>
      <c r="B2081" s="110" t="e">
        <f t="shared" ca="1" si="16"/>
        <v>#NAME?</v>
      </c>
      <c r="C2081" s="113"/>
      <c r="D2081" s="113"/>
      <c r="E2081" s="114"/>
      <c r="K2081" s="110"/>
      <c r="L2081" s="111"/>
    </row>
    <row r="2082" spans="1:15" ht="14.25" customHeight="1" x14ac:dyDescent="0.2">
      <c r="A2082" s="10"/>
      <c r="B2082" s="110" t="e">
        <f t="shared" ca="1" si="16"/>
        <v>#NAME?</v>
      </c>
      <c r="C2082" s="113"/>
      <c r="D2082" s="113"/>
      <c r="E2082" s="114"/>
      <c r="K2082" s="110"/>
      <c r="L2082" s="111"/>
    </row>
    <row r="2083" spans="1:15" ht="14.25" customHeight="1" x14ac:dyDescent="0.2">
      <c r="A2083" s="10"/>
      <c r="B2083" s="110" t="e">
        <f t="shared" ca="1" si="16"/>
        <v>#NAME?</v>
      </c>
      <c r="C2083" s="113"/>
      <c r="D2083" s="113"/>
      <c r="E2083" s="114"/>
      <c r="K2083" s="110"/>
      <c r="L2083" s="111"/>
    </row>
    <row r="2084" spans="1:15" ht="14.25" customHeight="1" x14ac:dyDescent="0.2">
      <c r="A2084" s="10"/>
      <c r="B2084" s="110" t="e">
        <f t="shared" ca="1" si="16"/>
        <v>#NAME?</v>
      </c>
      <c r="C2084" s="113"/>
      <c r="D2084" s="113"/>
      <c r="E2084" s="114"/>
      <c r="K2084" s="110"/>
      <c r="L2084" s="111"/>
    </row>
    <row r="2085" spans="1:15" ht="14.25" customHeight="1" x14ac:dyDescent="0.2">
      <c r="A2085" s="10"/>
      <c r="B2085" s="110" t="e">
        <f t="shared" ca="1" si="16"/>
        <v>#NAME?</v>
      </c>
      <c r="C2085" s="113"/>
      <c r="D2085" s="113"/>
      <c r="E2085" s="114"/>
      <c r="K2085" s="110"/>
      <c r="L2085" s="111"/>
      <c r="O2085" s="116"/>
    </row>
    <row r="2086" spans="1:15" ht="14.25" customHeight="1" x14ac:dyDescent="0.2">
      <c r="A2086" s="10"/>
      <c r="B2086" s="110" t="e">
        <f t="shared" ca="1" si="16"/>
        <v>#NAME?</v>
      </c>
      <c r="C2086" s="113"/>
      <c r="D2086" s="113"/>
      <c r="E2086" s="114"/>
      <c r="K2086" s="110"/>
      <c r="L2086" s="111"/>
    </row>
    <row r="2087" spans="1:15" ht="14.25" customHeight="1" x14ac:dyDescent="0.2">
      <c r="A2087" s="10"/>
      <c r="B2087" s="110" t="e">
        <f t="shared" ca="1" si="16"/>
        <v>#NAME?</v>
      </c>
      <c r="C2087" s="113"/>
      <c r="D2087" s="113"/>
      <c r="E2087" s="114"/>
      <c r="K2087" s="110"/>
      <c r="L2087" s="111"/>
    </row>
    <row r="2088" spans="1:15" ht="14.25" customHeight="1" x14ac:dyDescent="0.2">
      <c r="A2088" s="10"/>
      <c r="B2088" s="110" t="e">
        <f t="shared" ca="1" si="16"/>
        <v>#NAME?</v>
      </c>
      <c r="C2088" s="113"/>
      <c r="D2088" s="113"/>
      <c r="E2088" s="114"/>
      <c r="K2088" s="110"/>
      <c r="L2088" s="111"/>
    </row>
    <row r="2089" spans="1:15" ht="14.25" customHeight="1" x14ac:dyDescent="0.2">
      <c r="A2089" s="10"/>
      <c r="B2089" s="110" t="e">
        <f t="shared" ca="1" si="16"/>
        <v>#NAME?</v>
      </c>
      <c r="C2089" s="113"/>
      <c r="D2089" s="113"/>
      <c r="E2089" s="114"/>
      <c r="K2089" s="110"/>
      <c r="L2089" s="111"/>
    </row>
    <row r="2090" spans="1:15" ht="14.25" customHeight="1" x14ac:dyDescent="0.2">
      <c r="A2090" s="10"/>
      <c r="B2090" s="110"/>
      <c r="C2090" s="113"/>
      <c r="D2090" s="113"/>
      <c r="E2090" s="114"/>
      <c r="K2090" s="110"/>
      <c r="L2090" s="111"/>
    </row>
    <row r="2091" spans="1:15" ht="14.25" customHeight="1" x14ac:dyDescent="0.2">
      <c r="A2091" s="10"/>
      <c r="B2091" s="110"/>
      <c r="C2091" s="113"/>
      <c r="D2091" s="113"/>
      <c r="E2091" s="114"/>
      <c r="K2091" s="110"/>
      <c r="L2091" s="111"/>
    </row>
    <row r="2092" spans="1:15" ht="14.25" customHeight="1" x14ac:dyDescent="0.2">
      <c r="A2092" s="10"/>
      <c r="B2092" s="110"/>
      <c r="C2092" s="113"/>
      <c r="D2092" s="113"/>
      <c r="E2092" s="114"/>
      <c r="K2092" s="110"/>
      <c r="L2092" s="111"/>
      <c r="M2092" s="116"/>
    </row>
    <row r="2093" spans="1:15" ht="14.25" customHeight="1" x14ac:dyDescent="0.2">
      <c r="A2093" s="10"/>
      <c r="B2093" s="110"/>
      <c r="C2093" s="113"/>
      <c r="D2093" s="113"/>
      <c r="E2093" s="114"/>
      <c r="K2093" s="110"/>
      <c r="L2093" s="111"/>
    </row>
    <row r="2094" spans="1:15" ht="14.25" customHeight="1" x14ac:dyDescent="0.2">
      <c r="A2094" s="10"/>
      <c r="B2094" s="110"/>
      <c r="C2094" s="113"/>
      <c r="D2094" s="113"/>
      <c r="E2094" s="114"/>
      <c r="K2094" s="110"/>
      <c r="L2094" s="111"/>
    </row>
    <row r="2095" spans="1:15" ht="14.25" customHeight="1" x14ac:dyDescent="0.2">
      <c r="A2095" s="10"/>
      <c r="B2095" s="110"/>
      <c r="C2095" s="113"/>
      <c r="D2095" s="113"/>
      <c r="E2095" s="114"/>
      <c r="K2095" s="110"/>
      <c r="L2095" s="111"/>
    </row>
    <row r="2096" spans="1:15" ht="14.25" customHeight="1" x14ac:dyDescent="0.2">
      <c r="A2096" s="10"/>
      <c r="B2096" s="110"/>
      <c r="C2096" s="113"/>
      <c r="D2096" s="113"/>
      <c r="E2096" s="114"/>
      <c r="K2096" s="110"/>
      <c r="L2096" s="111"/>
    </row>
    <row r="2097" spans="1:12" ht="14.25" customHeight="1" x14ac:dyDescent="0.2">
      <c r="A2097" s="10"/>
      <c r="B2097" s="110"/>
      <c r="C2097" s="113"/>
      <c r="D2097" s="113"/>
      <c r="E2097" s="114"/>
      <c r="K2097" s="110"/>
      <c r="L2097" s="111"/>
    </row>
    <row r="2098" spans="1:12" ht="14.25" customHeight="1" x14ac:dyDescent="0.2">
      <c r="A2098" s="10"/>
      <c r="B2098" s="110"/>
      <c r="C2098" s="113"/>
      <c r="D2098" s="113"/>
      <c r="E2098" s="114"/>
      <c r="K2098" s="110"/>
      <c r="L2098" s="111"/>
    </row>
    <row r="2099" spans="1:12" ht="14.25" customHeight="1" x14ac:dyDescent="0.2">
      <c r="A2099" s="10"/>
      <c r="B2099" s="110"/>
      <c r="C2099" s="113"/>
      <c r="D2099" s="113"/>
      <c r="E2099" s="114"/>
      <c r="K2099" s="110"/>
      <c r="L2099" s="111"/>
    </row>
    <row r="2100" spans="1:12" ht="14.25" customHeight="1" x14ac:dyDescent="0.2">
      <c r="A2100" s="10"/>
      <c r="B2100" s="110"/>
      <c r="C2100" s="113"/>
      <c r="D2100" s="113"/>
      <c r="E2100" s="114"/>
      <c r="K2100" s="110"/>
      <c r="L2100" s="111"/>
    </row>
    <row r="2101" spans="1:12" ht="14.25" customHeight="1" x14ac:dyDescent="0.2">
      <c r="A2101" s="10"/>
      <c r="B2101" s="110"/>
      <c r="C2101" s="113"/>
      <c r="D2101" s="113"/>
      <c r="E2101" s="114"/>
      <c r="K2101" s="110"/>
      <c r="L2101" s="111"/>
    </row>
    <row r="2102" spans="1:12" ht="14.25" customHeight="1" x14ac:dyDescent="0.2">
      <c r="A2102" s="10"/>
      <c r="B2102" s="110"/>
      <c r="C2102" s="113"/>
      <c r="D2102" s="113"/>
      <c r="E2102" s="114"/>
      <c r="K2102" s="110"/>
      <c r="L2102" s="111"/>
    </row>
    <row r="2103" spans="1:12" ht="14.25" customHeight="1" x14ac:dyDescent="0.2">
      <c r="A2103" s="10"/>
      <c r="B2103" s="110"/>
      <c r="C2103" s="113"/>
      <c r="D2103" s="113"/>
      <c r="E2103" s="114"/>
      <c r="K2103" s="110"/>
      <c r="L2103" s="111"/>
    </row>
    <row r="2104" spans="1:12" ht="14.25" customHeight="1" x14ac:dyDescent="0.2">
      <c r="A2104" s="10"/>
      <c r="B2104" s="110"/>
      <c r="C2104" s="113"/>
      <c r="D2104" s="113"/>
      <c r="E2104" s="114"/>
      <c r="K2104" s="110"/>
      <c r="L2104" s="111"/>
    </row>
    <row r="2105" spans="1:12" ht="14.25" customHeight="1" x14ac:dyDescent="0.2">
      <c r="A2105" s="10"/>
      <c r="B2105" s="110"/>
      <c r="C2105" s="113"/>
      <c r="D2105" s="113"/>
      <c r="E2105" s="114"/>
      <c r="K2105" s="110"/>
      <c r="L2105" s="111"/>
    </row>
    <row r="2106" spans="1:12" ht="14.25" customHeight="1" x14ac:dyDescent="0.2">
      <c r="A2106" s="10"/>
      <c r="B2106" s="110"/>
      <c r="C2106" s="113"/>
      <c r="D2106" s="113"/>
      <c r="E2106" s="114"/>
      <c r="K2106" s="110"/>
      <c r="L2106" s="111"/>
    </row>
    <row r="2107" spans="1:12" ht="14.25" customHeight="1" x14ac:dyDescent="0.2">
      <c r="A2107" s="10"/>
      <c r="B2107" s="110"/>
      <c r="C2107" s="113"/>
      <c r="D2107" s="113"/>
      <c r="E2107" s="114"/>
      <c r="K2107" s="110"/>
      <c r="L2107" s="111"/>
    </row>
    <row r="2108" spans="1:12" ht="14.25" customHeight="1" x14ac:dyDescent="0.2">
      <c r="A2108" s="10"/>
      <c r="B2108" s="110"/>
      <c r="C2108" s="113"/>
      <c r="D2108" s="113"/>
      <c r="E2108" s="114"/>
      <c r="K2108" s="110"/>
      <c r="L2108" s="111"/>
    </row>
    <row r="2109" spans="1:12" ht="14.25" customHeight="1" x14ac:dyDescent="0.2">
      <c r="A2109" s="10"/>
      <c r="B2109" s="110"/>
      <c r="C2109" s="113"/>
      <c r="D2109" s="113"/>
      <c r="E2109" s="114"/>
      <c r="K2109" s="110"/>
      <c r="L2109" s="111"/>
    </row>
    <row r="2110" spans="1:12" ht="14.25" customHeight="1" x14ac:dyDescent="0.2">
      <c r="A2110" s="10"/>
      <c r="B2110" s="110"/>
      <c r="C2110" s="113"/>
      <c r="D2110" s="113"/>
      <c r="E2110" s="114"/>
      <c r="K2110" s="110"/>
      <c r="L2110" s="111"/>
    </row>
    <row r="2111" spans="1:12" ht="14.25" customHeight="1" x14ac:dyDescent="0.2">
      <c r="A2111" s="10"/>
      <c r="B2111" s="110"/>
      <c r="C2111" s="113"/>
      <c r="D2111" s="113"/>
      <c r="E2111" s="114"/>
      <c r="K2111" s="110"/>
      <c r="L2111" s="111"/>
    </row>
    <row r="2112" spans="1:12" ht="14.25" customHeight="1" x14ac:dyDescent="0.2">
      <c r="A2112" s="10"/>
      <c r="B2112" s="110"/>
      <c r="C2112" s="113"/>
      <c r="D2112" s="113"/>
      <c r="E2112" s="114"/>
      <c r="K2112" s="110"/>
      <c r="L2112" s="111"/>
    </row>
    <row r="2113" spans="1:15" ht="14.25" customHeight="1" x14ac:dyDescent="0.2">
      <c r="A2113" s="10"/>
      <c r="B2113" s="110"/>
      <c r="C2113" s="113"/>
      <c r="D2113" s="113"/>
      <c r="E2113" s="114"/>
      <c r="K2113" s="110"/>
      <c r="L2113" s="111"/>
    </row>
    <row r="2114" spans="1:15" ht="14.25" customHeight="1" x14ac:dyDescent="0.2">
      <c r="A2114" s="10"/>
      <c r="B2114" s="110"/>
      <c r="C2114" s="113"/>
      <c r="D2114" s="113"/>
      <c r="E2114" s="114"/>
      <c r="K2114" s="110"/>
      <c r="L2114" s="111"/>
    </row>
    <row r="2115" spans="1:15" ht="14.25" customHeight="1" x14ac:dyDescent="0.2">
      <c r="A2115" s="10"/>
      <c r="B2115" s="110"/>
      <c r="C2115" s="113"/>
      <c r="D2115" s="113"/>
      <c r="E2115" s="114"/>
      <c r="K2115" s="110"/>
      <c r="L2115" s="111"/>
    </row>
    <row r="2116" spans="1:15" ht="14.25" customHeight="1" x14ac:dyDescent="0.2">
      <c r="A2116" s="10"/>
      <c r="B2116" s="110"/>
      <c r="C2116" s="113"/>
      <c r="D2116" s="113"/>
      <c r="E2116" s="114"/>
      <c r="K2116" s="110"/>
      <c r="L2116" s="111"/>
    </row>
    <row r="2117" spans="1:15" ht="14.25" customHeight="1" x14ac:dyDescent="0.2">
      <c r="A2117" s="10"/>
      <c r="B2117" s="110"/>
      <c r="C2117" s="113"/>
      <c r="D2117" s="113"/>
      <c r="E2117" s="114"/>
      <c r="K2117" s="110"/>
      <c r="L2117" s="111"/>
      <c r="M2117" s="116"/>
    </row>
    <row r="2118" spans="1:15" ht="14.25" customHeight="1" x14ac:dyDescent="0.2">
      <c r="A2118" s="10"/>
      <c r="B2118" s="110"/>
      <c r="C2118" s="113"/>
      <c r="D2118" s="113"/>
      <c r="E2118" s="114"/>
      <c r="K2118" s="110"/>
      <c r="L2118" s="111"/>
      <c r="O2118" s="116"/>
    </row>
    <row r="2119" spans="1:15" ht="14.25" customHeight="1" x14ac:dyDescent="0.2">
      <c r="A2119" s="10"/>
      <c r="B2119" s="110"/>
      <c r="C2119" s="113"/>
      <c r="D2119" s="113"/>
      <c r="E2119" s="114"/>
      <c r="K2119" s="110"/>
      <c r="L2119" s="111"/>
    </row>
    <row r="2120" spans="1:15" ht="14.25" customHeight="1" x14ac:dyDescent="0.2">
      <c r="A2120" s="10"/>
      <c r="B2120" s="110"/>
      <c r="C2120" s="113"/>
      <c r="D2120" s="113"/>
      <c r="E2120" s="114"/>
      <c r="K2120" s="110"/>
      <c r="L2120" s="111"/>
    </row>
    <row r="2121" spans="1:15" ht="14.25" customHeight="1" x14ac:dyDescent="0.2">
      <c r="A2121" s="10"/>
      <c r="B2121" s="110"/>
      <c r="C2121" s="113"/>
      <c r="D2121" s="113"/>
      <c r="E2121" s="114"/>
      <c r="K2121" s="110"/>
      <c r="L2121" s="111"/>
    </row>
    <row r="2122" spans="1:15" ht="14.25" customHeight="1" x14ac:dyDescent="0.2">
      <c r="A2122" s="10"/>
      <c r="B2122" s="110"/>
      <c r="C2122" s="113"/>
      <c r="D2122" s="113"/>
      <c r="E2122" s="114"/>
      <c r="K2122" s="110"/>
      <c r="L2122" s="111"/>
    </row>
    <row r="2123" spans="1:15" ht="14.25" customHeight="1" x14ac:dyDescent="0.2">
      <c r="A2123" s="10"/>
      <c r="B2123" s="110"/>
      <c r="C2123" s="113"/>
      <c r="D2123" s="113"/>
      <c r="E2123" s="114"/>
      <c r="K2123" s="110"/>
      <c r="L2123" s="111"/>
    </row>
    <row r="2124" spans="1:15" ht="14.25" customHeight="1" x14ac:dyDescent="0.2">
      <c r="A2124" s="10"/>
      <c r="B2124" s="110"/>
      <c r="C2124" s="113"/>
      <c r="D2124" s="113"/>
      <c r="E2124" s="114"/>
      <c r="K2124" s="110"/>
      <c r="L2124" s="111"/>
    </row>
    <row r="2125" spans="1:15" ht="14.25" customHeight="1" x14ac:dyDescent="0.2">
      <c r="A2125" s="10"/>
      <c r="B2125" s="110"/>
      <c r="C2125" s="113"/>
      <c r="D2125" s="113"/>
      <c r="E2125" s="114"/>
      <c r="K2125" s="110"/>
      <c r="L2125" s="111"/>
    </row>
    <row r="2126" spans="1:15" ht="14.25" customHeight="1" x14ac:dyDescent="0.2">
      <c r="A2126" s="10"/>
      <c r="B2126" s="110"/>
      <c r="C2126" s="113"/>
      <c r="D2126" s="113"/>
      <c r="E2126" s="114"/>
      <c r="K2126" s="110"/>
      <c r="L2126" s="111"/>
    </row>
    <row r="2127" spans="1:15" ht="14.25" customHeight="1" x14ac:dyDescent="0.2">
      <c r="A2127" s="10"/>
      <c r="B2127" s="110"/>
      <c r="C2127" s="113"/>
      <c r="D2127" s="113"/>
      <c r="E2127" s="114"/>
      <c r="K2127" s="110"/>
      <c r="L2127" s="111"/>
    </row>
    <row r="2128" spans="1:15" ht="14.25" customHeight="1" x14ac:dyDescent="0.2">
      <c r="A2128" s="10"/>
      <c r="B2128" s="110"/>
      <c r="C2128" s="113"/>
      <c r="D2128" s="113"/>
      <c r="E2128" s="114"/>
      <c r="K2128" s="110"/>
      <c r="L2128" s="111"/>
    </row>
    <row r="2129" spans="1:12" ht="14.25" customHeight="1" x14ac:dyDescent="0.2">
      <c r="A2129" s="10"/>
      <c r="B2129" s="110"/>
      <c r="C2129" s="113"/>
      <c r="D2129" s="113"/>
      <c r="E2129" s="114"/>
      <c r="K2129" s="110"/>
      <c r="L2129" s="111"/>
    </row>
    <row r="2130" spans="1:12" ht="14.25" customHeight="1" x14ac:dyDescent="0.2">
      <c r="A2130" s="10"/>
      <c r="B2130" s="110"/>
      <c r="C2130" s="113"/>
      <c r="D2130" s="113"/>
      <c r="E2130" s="114"/>
      <c r="K2130" s="110"/>
      <c r="L2130" s="111"/>
    </row>
    <row r="2131" spans="1:12" ht="14.25" customHeight="1" x14ac:dyDescent="0.2">
      <c r="A2131" s="10"/>
      <c r="B2131" s="110"/>
      <c r="C2131" s="113"/>
      <c r="D2131" s="113"/>
      <c r="E2131" s="114"/>
      <c r="K2131" s="110"/>
      <c r="L2131" s="111"/>
    </row>
    <row r="2132" spans="1:12" ht="14.25" customHeight="1" x14ac:dyDescent="0.2">
      <c r="A2132" s="10"/>
      <c r="B2132" s="110"/>
      <c r="C2132" s="113"/>
      <c r="D2132" s="113"/>
      <c r="E2132" s="114"/>
      <c r="K2132" s="110"/>
      <c r="L2132" s="111"/>
    </row>
    <row r="2133" spans="1:12" ht="14.25" customHeight="1" x14ac:dyDescent="0.2">
      <c r="A2133" s="10"/>
      <c r="B2133" s="110"/>
      <c r="C2133" s="113"/>
      <c r="D2133" s="113"/>
      <c r="E2133" s="114"/>
      <c r="K2133" s="110"/>
      <c r="L2133" s="111"/>
    </row>
    <row r="2134" spans="1:12" ht="14.25" customHeight="1" x14ac:dyDescent="0.2">
      <c r="A2134" s="10"/>
      <c r="B2134" s="110"/>
      <c r="C2134" s="113"/>
      <c r="D2134" s="113"/>
      <c r="E2134" s="114"/>
      <c r="K2134" s="110"/>
      <c r="L2134" s="111"/>
    </row>
    <row r="2135" spans="1:12" ht="14.25" customHeight="1" x14ac:dyDescent="0.2">
      <c r="A2135" s="10"/>
      <c r="B2135" s="110"/>
      <c r="C2135" s="113"/>
      <c r="D2135" s="113"/>
      <c r="E2135" s="114"/>
      <c r="K2135" s="110"/>
      <c r="L2135" s="111"/>
    </row>
    <row r="2136" spans="1:12" ht="14.25" customHeight="1" x14ac:dyDescent="0.2">
      <c r="A2136" s="10"/>
      <c r="B2136" s="110"/>
      <c r="C2136" s="113"/>
      <c r="D2136" s="113"/>
      <c r="E2136" s="114"/>
      <c r="K2136" s="110"/>
      <c r="L2136" s="111"/>
    </row>
    <row r="2137" spans="1:12" ht="14.25" customHeight="1" x14ac:dyDescent="0.2">
      <c r="A2137" s="10"/>
      <c r="B2137" s="110"/>
      <c r="C2137" s="113"/>
      <c r="D2137" s="113"/>
      <c r="E2137" s="114"/>
      <c r="K2137" s="110"/>
      <c r="L2137" s="111"/>
    </row>
    <row r="2138" spans="1:12" ht="14.25" customHeight="1" x14ac:dyDescent="0.2">
      <c r="A2138" s="10"/>
      <c r="B2138" s="110"/>
      <c r="C2138" s="113"/>
      <c r="D2138" s="113"/>
      <c r="E2138" s="114"/>
      <c r="K2138" s="110"/>
      <c r="L2138" s="111"/>
    </row>
    <row r="2139" spans="1:12" ht="14.25" customHeight="1" x14ac:dyDescent="0.2">
      <c r="A2139" s="10"/>
      <c r="B2139" s="110"/>
      <c r="C2139" s="113"/>
      <c r="D2139" s="113"/>
      <c r="E2139" s="114"/>
      <c r="K2139" s="110"/>
      <c r="L2139" s="111"/>
    </row>
    <row r="2140" spans="1:12" ht="14.25" customHeight="1" x14ac:dyDescent="0.2">
      <c r="A2140" s="10"/>
      <c r="B2140" s="110"/>
      <c r="C2140" s="113"/>
      <c r="D2140" s="113"/>
      <c r="E2140" s="114"/>
      <c r="K2140" s="110"/>
      <c r="L2140" s="111"/>
    </row>
    <row r="2141" spans="1:12" ht="14.25" customHeight="1" x14ac:dyDescent="0.2">
      <c r="A2141" s="10"/>
      <c r="B2141" s="110"/>
      <c r="C2141" s="113"/>
      <c r="D2141" s="113"/>
      <c r="E2141" s="114"/>
      <c r="K2141" s="110"/>
      <c r="L2141" s="111"/>
    </row>
    <row r="2142" spans="1:12" ht="14.25" customHeight="1" x14ac:dyDescent="0.2">
      <c r="A2142" s="10"/>
      <c r="B2142" s="110"/>
      <c r="C2142" s="113"/>
      <c r="D2142" s="113"/>
      <c r="E2142" s="114"/>
      <c r="K2142" s="110"/>
      <c r="L2142" s="111"/>
    </row>
    <row r="2143" spans="1:12" ht="14.25" customHeight="1" x14ac:dyDescent="0.2">
      <c r="A2143" s="10"/>
      <c r="B2143" s="110"/>
      <c r="C2143" s="113"/>
      <c r="D2143" s="113"/>
      <c r="E2143" s="114"/>
      <c r="K2143" s="110"/>
      <c r="L2143" s="111"/>
    </row>
    <row r="2144" spans="1:12" ht="14.25" customHeight="1" x14ac:dyDescent="0.2">
      <c r="A2144" s="10"/>
      <c r="B2144" s="110"/>
      <c r="C2144" s="113"/>
      <c r="D2144" s="113"/>
      <c r="E2144" s="114"/>
      <c r="K2144" s="110"/>
      <c r="L2144" s="111"/>
    </row>
    <row r="2145" spans="1:12" ht="14.25" customHeight="1" x14ac:dyDescent="0.2">
      <c r="A2145" s="10"/>
      <c r="B2145" s="110"/>
      <c r="C2145" s="113"/>
      <c r="D2145" s="113"/>
      <c r="E2145" s="114"/>
      <c r="K2145" s="110"/>
      <c r="L2145" s="111"/>
    </row>
    <row r="2146" spans="1:12" ht="14.25" customHeight="1" x14ac:dyDescent="0.2">
      <c r="A2146" s="10"/>
      <c r="B2146" s="110"/>
      <c r="C2146" s="113"/>
      <c r="D2146" s="113"/>
      <c r="E2146" s="114"/>
      <c r="K2146" s="110"/>
      <c r="L2146" s="111"/>
    </row>
    <row r="2147" spans="1:12" ht="14.25" customHeight="1" x14ac:dyDescent="0.2">
      <c r="A2147" s="10"/>
      <c r="B2147" s="110"/>
      <c r="C2147" s="113"/>
      <c r="D2147" s="113"/>
      <c r="E2147" s="114"/>
      <c r="K2147" s="110"/>
      <c r="L2147" s="111"/>
    </row>
    <row r="2148" spans="1:12" ht="14.25" customHeight="1" x14ac:dyDescent="0.2">
      <c r="A2148" s="10"/>
      <c r="B2148" s="110"/>
      <c r="C2148" s="113"/>
      <c r="D2148" s="113"/>
      <c r="E2148" s="114"/>
      <c r="K2148" s="110"/>
      <c r="L2148" s="111"/>
    </row>
    <row r="2149" spans="1:12" ht="14.25" customHeight="1" x14ac:dyDescent="0.2">
      <c r="A2149" s="10"/>
      <c r="B2149" s="110"/>
      <c r="C2149" s="113"/>
      <c r="D2149" s="113"/>
      <c r="E2149" s="114"/>
      <c r="K2149" s="110"/>
      <c r="L2149" s="111"/>
    </row>
    <row r="2150" spans="1:12" ht="14.25" customHeight="1" x14ac:dyDescent="0.2">
      <c r="A2150" s="10"/>
      <c r="B2150" s="110"/>
      <c r="C2150" s="113"/>
      <c r="D2150" s="113"/>
      <c r="E2150" s="114"/>
      <c r="K2150" s="110"/>
      <c r="L2150" s="111"/>
    </row>
    <row r="2151" spans="1:12" ht="14.25" customHeight="1" x14ac:dyDescent="0.2">
      <c r="A2151" s="10"/>
      <c r="B2151" s="110"/>
      <c r="C2151" s="113"/>
      <c r="D2151" s="113"/>
      <c r="E2151" s="114"/>
      <c r="K2151" s="110"/>
      <c r="L2151" s="111"/>
    </row>
    <row r="2152" spans="1:12" ht="14.25" customHeight="1" x14ac:dyDescent="0.2">
      <c r="A2152" s="10"/>
      <c r="B2152" s="110"/>
      <c r="C2152" s="113"/>
      <c r="D2152" s="113"/>
      <c r="E2152" s="114"/>
      <c r="K2152" s="110"/>
      <c r="L2152" s="111"/>
    </row>
    <row r="2153" spans="1:12" ht="14.25" customHeight="1" x14ac:dyDescent="0.2">
      <c r="A2153" s="10"/>
      <c r="B2153" s="110"/>
      <c r="C2153" s="113"/>
      <c r="D2153" s="113"/>
      <c r="E2153" s="114"/>
      <c r="K2153" s="110"/>
      <c r="L2153" s="111"/>
    </row>
    <row r="2154" spans="1:12" ht="14.25" customHeight="1" x14ac:dyDescent="0.2">
      <c r="A2154" s="10"/>
      <c r="B2154" s="110"/>
      <c r="C2154" s="113"/>
      <c r="D2154" s="113"/>
      <c r="E2154" s="114"/>
      <c r="K2154" s="110"/>
      <c r="L2154" s="111"/>
    </row>
    <row r="2155" spans="1:12" ht="14.25" customHeight="1" x14ac:dyDescent="0.2">
      <c r="A2155" s="10"/>
      <c r="B2155" s="110"/>
      <c r="C2155" s="113"/>
      <c r="D2155" s="113"/>
      <c r="E2155" s="114"/>
      <c r="K2155" s="110"/>
      <c r="L2155" s="111"/>
    </row>
    <row r="2156" spans="1:12" ht="14.25" customHeight="1" x14ac:dyDescent="0.2">
      <c r="A2156" s="10"/>
      <c r="B2156" s="110"/>
      <c r="C2156" s="113"/>
      <c r="D2156" s="113"/>
      <c r="E2156" s="114"/>
      <c r="K2156" s="110"/>
      <c r="L2156" s="111"/>
    </row>
    <row r="2157" spans="1:12" ht="14.25" customHeight="1" x14ac:dyDescent="0.2">
      <c r="A2157" s="10"/>
      <c r="B2157" s="110"/>
      <c r="C2157" s="113"/>
      <c r="D2157" s="113"/>
      <c r="E2157" s="114"/>
      <c r="K2157" s="110"/>
      <c r="L2157" s="111"/>
    </row>
    <row r="2158" spans="1:12" ht="14.25" customHeight="1" x14ac:dyDescent="0.2">
      <c r="A2158" s="10"/>
      <c r="B2158" s="110"/>
      <c r="C2158" s="113"/>
      <c r="D2158" s="113"/>
      <c r="E2158" s="114"/>
      <c r="K2158" s="110"/>
      <c r="L2158" s="111"/>
    </row>
    <row r="2159" spans="1:12" ht="14.25" customHeight="1" x14ac:dyDescent="0.2">
      <c r="A2159" s="10"/>
      <c r="B2159" s="110"/>
      <c r="C2159" s="113"/>
      <c r="D2159" s="113"/>
      <c r="E2159" s="114"/>
      <c r="K2159" s="110"/>
      <c r="L2159" s="111"/>
    </row>
    <row r="2160" spans="1:12" ht="14.25" customHeight="1" x14ac:dyDescent="0.2">
      <c r="A2160" s="10"/>
      <c r="B2160" s="110"/>
      <c r="C2160" s="113"/>
      <c r="D2160" s="113"/>
      <c r="E2160" s="114"/>
      <c r="K2160" s="110"/>
      <c r="L2160" s="111"/>
    </row>
    <row r="2161" spans="1:12" ht="14.25" customHeight="1" x14ac:dyDescent="0.2">
      <c r="A2161" s="10"/>
      <c r="B2161" s="110"/>
      <c r="C2161" s="113"/>
      <c r="D2161" s="113"/>
      <c r="E2161" s="114"/>
      <c r="K2161" s="110"/>
      <c r="L2161" s="111"/>
    </row>
    <row r="2162" spans="1:12" ht="14.25" customHeight="1" x14ac:dyDescent="0.2">
      <c r="A2162" s="10"/>
      <c r="B2162" s="110"/>
      <c r="C2162" s="113"/>
      <c r="D2162" s="113"/>
      <c r="E2162" s="114"/>
      <c r="K2162" s="110"/>
      <c r="L2162" s="111"/>
    </row>
    <row r="2163" spans="1:12" ht="14.25" customHeight="1" x14ac:dyDescent="0.2">
      <c r="A2163" s="10"/>
      <c r="B2163" s="110"/>
      <c r="C2163" s="113"/>
      <c r="D2163" s="113"/>
      <c r="E2163" s="114"/>
      <c r="K2163" s="110"/>
      <c r="L2163" s="111"/>
    </row>
    <row r="2164" spans="1:12" ht="14.25" customHeight="1" x14ac:dyDescent="0.2">
      <c r="A2164" s="10"/>
      <c r="B2164" s="110"/>
      <c r="C2164" s="113"/>
      <c r="D2164" s="113"/>
      <c r="E2164" s="114"/>
      <c r="K2164" s="110"/>
      <c r="L2164" s="111"/>
    </row>
    <row r="2165" spans="1:12" ht="14.25" customHeight="1" x14ac:dyDescent="0.2">
      <c r="A2165" s="10"/>
      <c r="B2165" s="110"/>
      <c r="C2165" s="113"/>
      <c r="D2165" s="113"/>
      <c r="E2165" s="114"/>
      <c r="K2165" s="110"/>
      <c r="L2165" s="111"/>
    </row>
    <row r="2166" spans="1:12" ht="14.25" customHeight="1" x14ac:dyDescent="0.2">
      <c r="A2166" s="10"/>
      <c r="B2166" s="110"/>
      <c r="C2166" s="113"/>
      <c r="D2166" s="113"/>
      <c r="E2166" s="114"/>
      <c r="K2166" s="110"/>
      <c r="L2166" s="111"/>
    </row>
    <row r="2167" spans="1:12" ht="14.25" customHeight="1" x14ac:dyDescent="0.2">
      <c r="A2167" s="10"/>
      <c r="B2167" s="110"/>
      <c r="C2167" s="113"/>
      <c r="D2167" s="113"/>
      <c r="E2167" s="114"/>
      <c r="K2167" s="110"/>
      <c r="L2167" s="111"/>
    </row>
    <row r="2168" spans="1:12" ht="14.25" customHeight="1" x14ac:dyDescent="0.2">
      <c r="A2168" s="10"/>
      <c r="B2168" s="110"/>
      <c r="C2168" s="113"/>
      <c r="D2168" s="113"/>
      <c r="E2168" s="114"/>
      <c r="K2168" s="110"/>
      <c r="L2168" s="111"/>
    </row>
    <row r="2169" spans="1:12" ht="14.25" customHeight="1" x14ac:dyDescent="0.2">
      <c r="A2169" s="10"/>
      <c r="B2169" s="110"/>
      <c r="C2169" s="113"/>
      <c r="D2169" s="113"/>
      <c r="E2169" s="114"/>
      <c r="K2169" s="110"/>
      <c r="L2169" s="111"/>
    </row>
    <row r="2170" spans="1:12" ht="14.25" customHeight="1" x14ac:dyDescent="0.2">
      <c r="A2170" s="10"/>
      <c r="B2170" s="110"/>
      <c r="C2170" s="113"/>
      <c r="D2170" s="113"/>
      <c r="E2170" s="114"/>
      <c r="K2170" s="110"/>
      <c r="L2170" s="111"/>
    </row>
    <row r="2171" spans="1:12" ht="14.25" customHeight="1" x14ac:dyDescent="0.2">
      <c r="A2171" s="10"/>
      <c r="B2171" s="110"/>
      <c r="C2171" s="113"/>
      <c r="D2171" s="113"/>
      <c r="E2171" s="114"/>
      <c r="K2171" s="110"/>
      <c r="L2171" s="111"/>
    </row>
    <row r="2172" spans="1:12" ht="14.25" customHeight="1" x14ac:dyDescent="0.2">
      <c r="A2172" s="10"/>
      <c r="B2172" s="110"/>
      <c r="C2172" s="113"/>
      <c r="D2172" s="113"/>
      <c r="E2172" s="114"/>
      <c r="K2172" s="110"/>
      <c r="L2172" s="111"/>
    </row>
    <row r="2173" spans="1:12" ht="14.25" customHeight="1" x14ac:dyDescent="0.2">
      <c r="A2173" s="10"/>
      <c r="B2173" s="110"/>
      <c r="C2173" s="113"/>
      <c r="D2173" s="113"/>
      <c r="E2173" s="114"/>
      <c r="K2173" s="110"/>
      <c r="L2173" s="111"/>
    </row>
    <row r="2174" spans="1:12" ht="14.25" customHeight="1" x14ac:dyDescent="0.2">
      <c r="A2174" s="10"/>
      <c r="B2174" s="110"/>
      <c r="C2174" s="113"/>
      <c r="D2174" s="113"/>
      <c r="E2174" s="114"/>
      <c r="K2174" s="110"/>
      <c r="L2174" s="111"/>
    </row>
    <row r="2175" spans="1:12" ht="14.25" customHeight="1" x14ac:dyDescent="0.2">
      <c r="A2175" s="10"/>
      <c r="B2175" s="110"/>
      <c r="C2175" s="113"/>
      <c r="D2175" s="113"/>
      <c r="E2175" s="114"/>
      <c r="K2175" s="110"/>
      <c r="L2175" s="111"/>
    </row>
    <row r="2176" spans="1:12" ht="14.25" customHeight="1" x14ac:dyDescent="0.2">
      <c r="A2176" s="10"/>
      <c r="B2176" s="110"/>
      <c r="C2176" s="113"/>
      <c r="D2176" s="113"/>
      <c r="E2176" s="114"/>
      <c r="K2176" s="110"/>
      <c r="L2176" s="111"/>
    </row>
    <row r="2177" spans="1:12" ht="14.25" customHeight="1" x14ac:dyDescent="0.2">
      <c r="A2177" s="10"/>
      <c r="B2177" s="110"/>
      <c r="C2177" s="113"/>
      <c r="D2177" s="113"/>
      <c r="E2177" s="114"/>
      <c r="K2177" s="110"/>
      <c r="L2177" s="111"/>
    </row>
    <row r="2178" spans="1:12" ht="14.25" customHeight="1" x14ac:dyDescent="0.2">
      <c r="A2178" s="10"/>
      <c r="B2178" s="110"/>
      <c r="C2178" s="113"/>
      <c r="D2178" s="113"/>
      <c r="E2178" s="114"/>
      <c r="K2178" s="110"/>
      <c r="L2178" s="111"/>
    </row>
    <row r="2179" spans="1:12" ht="14.25" customHeight="1" x14ac:dyDescent="0.2">
      <c r="A2179" s="10"/>
      <c r="B2179" s="110"/>
      <c r="C2179" s="113"/>
      <c r="D2179" s="113"/>
      <c r="E2179" s="114"/>
      <c r="K2179" s="110"/>
      <c r="L2179" s="111"/>
    </row>
    <row r="2180" spans="1:12" ht="14.25" customHeight="1" x14ac:dyDescent="0.2">
      <c r="A2180" s="10"/>
      <c r="B2180" s="110"/>
      <c r="C2180" s="113"/>
      <c r="D2180" s="113"/>
      <c r="E2180" s="114"/>
      <c r="K2180" s="110"/>
      <c r="L2180" s="111"/>
    </row>
    <row r="2181" spans="1:12" ht="14.25" customHeight="1" x14ac:dyDescent="0.2">
      <c r="A2181" s="10"/>
      <c r="B2181" s="110"/>
      <c r="C2181" s="113"/>
      <c r="D2181" s="113"/>
      <c r="E2181" s="114"/>
      <c r="K2181" s="110"/>
      <c r="L2181" s="111"/>
    </row>
    <row r="2182" spans="1:12" ht="14.25" customHeight="1" x14ac:dyDescent="0.2">
      <c r="A2182" s="10"/>
      <c r="B2182" s="110"/>
      <c r="C2182" s="113"/>
      <c r="D2182" s="113"/>
      <c r="E2182" s="114"/>
      <c r="K2182" s="110"/>
      <c r="L2182" s="111"/>
    </row>
    <row r="2183" spans="1:12" ht="14.25" customHeight="1" x14ac:dyDescent="0.2">
      <c r="A2183" s="10"/>
      <c r="B2183" s="110"/>
      <c r="C2183" s="113"/>
      <c r="D2183" s="113"/>
      <c r="E2183" s="114"/>
      <c r="K2183" s="110"/>
      <c r="L2183" s="111"/>
    </row>
    <row r="2184" spans="1:12" ht="14.25" customHeight="1" x14ac:dyDescent="0.2">
      <c r="A2184" s="10"/>
      <c r="B2184" s="110"/>
      <c r="C2184" s="113"/>
      <c r="D2184" s="113"/>
      <c r="E2184" s="114"/>
      <c r="K2184" s="110"/>
      <c r="L2184" s="111"/>
    </row>
    <row r="2185" spans="1:12" ht="14.25" customHeight="1" x14ac:dyDescent="0.2">
      <c r="A2185" s="10"/>
      <c r="B2185" s="110"/>
      <c r="C2185" s="113"/>
      <c r="D2185" s="113"/>
      <c r="E2185" s="114"/>
      <c r="K2185" s="110"/>
      <c r="L2185" s="111"/>
    </row>
    <row r="2186" spans="1:12" ht="14.25" customHeight="1" x14ac:dyDescent="0.2">
      <c r="A2186" s="10"/>
      <c r="B2186" s="110"/>
      <c r="C2186" s="113"/>
      <c r="D2186" s="113"/>
      <c r="E2186" s="114"/>
      <c r="K2186" s="110"/>
      <c r="L2186" s="111"/>
    </row>
    <row r="2187" spans="1:12" ht="14.25" customHeight="1" x14ac:dyDescent="0.2">
      <c r="A2187" s="10"/>
      <c r="B2187" s="110"/>
      <c r="C2187" s="113"/>
      <c r="D2187" s="113"/>
      <c r="E2187" s="114"/>
      <c r="K2187" s="110"/>
      <c r="L2187" s="111"/>
    </row>
    <row r="2188" spans="1:12" ht="14.25" customHeight="1" x14ac:dyDescent="0.2">
      <c r="A2188" s="10"/>
      <c r="B2188" s="110"/>
      <c r="C2188" s="113"/>
      <c r="D2188" s="113"/>
      <c r="E2188" s="114"/>
      <c r="K2188" s="110"/>
      <c r="L2188" s="111"/>
    </row>
    <row r="2189" spans="1:12" ht="14.25" customHeight="1" x14ac:dyDescent="0.2">
      <c r="A2189" s="10"/>
      <c r="B2189" s="110"/>
      <c r="C2189" s="113"/>
      <c r="D2189" s="113"/>
      <c r="E2189" s="114"/>
      <c r="K2189" s="110"/>
      <c r="L2189" s="111"/>
    </row>
    <row r="2190" spans="1:12" ht="14.25" customHeight="1" x14ac:dyDescent="0.2">
      <c r="A2190" s="10"/>
      <c r="B2190" s="110"/>
      <c r="C2190" s="113"/>
      <c r="D2190" s="113"/>
      <c r="E2190" s="114"/>
      <c r="K2190" s="110"/>
      <c r="L2190" s="111"/>
    </row>
    <row r="2191" spans="1:12" ht="14.25" customHeight="1" x14ac:dyDescent="0.2">
      <c r="A2191" s="10"/>
      <c r="B2191" s="110"/>
      <c r="C2191" s="113"/>
      <c r="D2191" s="113"/>
      <c r="E2191" s="114"/>
      <c r="K2191" s="110"/>
      <c r="L2191" s="111"/>
    </row>
    <row r="2192" spans="1:12" ht="14.25" customHeight="1" x14ac:dyDescent="0.2">
      <c r="A2192" s="10"/>
      <c r="B2192" s="110"/>
      <c r="C2192" s="113"/>
      <c r="D2192" s="113"/>
      <c r="E2192" s="114"/>
      <c r="K2192" s="110"/>
      <c r="L2192" s="111"/>
    </row>
    <row r="2193" spans="1:15" ht="14.25" customHeight="1" x14ac:dyDescent="0.2">
      <c r="A2193" s="10"/>
      <c r="B2193" s="110"/>
      <c r="C2193" s="113"/>
      <c r="D2193" s="113"/>
      <c r="E2193" s="114"/>
      <c r="K2193" s="110"/>
      <c r="L2193" s="111"/>
    </row>
    <row r="2194" spans="1:15" ht="14.25" customHeight="1" x14ac:dyDescent="0.2">
      <c r="A2194" s="10"/>
      <c r="B2194" s="110"/>
      <c r="C2194" s="113"/>
      <c r="D2194" s="113"/>
      <c r="E2194" s="114"/>
      <c r="K2194" s="110"/>
      <c r="L2194" s="111"/>
    </row>
    <row r="2195" spans="1:15" ht="14.25" customHeight="1" x14ac:dyDescent="0.2">
      <c r="A2195" s="10"/>
      <c r="B2195" s="110"/>
      <c r="C2195" s="113"/>
      <c r="D2195" s="113"/>
      <c r="E2195" s="114"/>
      <c r="K2195" s="110"/>
      <c r="L2195" s="111"/>
    </row>
    <row r="2196" spans="1:15" ht="14.25" customHeight="1" x14ac:dyDescent="0.2">
      <c r="A2196" s="10"/>
      <c r="B2196" s="110"/>
      <c r="C2196" s="113"/>
      <c r="D2196" s="113"/>
      <c r="E2196" s="114"/>
      <c r="K2196" s="110"/>
      <c r="L2196" s="111"/>
    </row>
    <row r="2197" spans="1:15" ht="14.25" customHeight="1" x14ac:dyDescent="0.2">
      <c r="A2197" s="10"/>
      <c r="B2197" s="110"/>
      <c r="C2197" s="113"/>
      <c r="D2197" s="113"/>
      <c r="E2197" s="114"/>
      <c r="K2197" s="110"/>
      <c r="L2197" s="111"/>
    </row>
    <row r="2198" spans="1:15" ht="14.25" customHeight="1" x14ac:dyDescent="0.2">
      <c r="A2198" s="10"/>
      <c r="B2198" s="110"/>
      <c r="C2198" s="113"/>
      <c r="D2198" s="113"/>
      <c r="E2198" s="114"/>
      <c r="K2198" s="110"/>
      <c r="L2198" s="111"/>
      <c r="O2198" s="116"/>
    </row>
    <row r="2199" spans="1:15" ht="14.25" customHeight="1" x14ac:dyDescent="0.2">
      <c r="A2199" s="10"/>
      <c r="B2199" s="110"/>
      <c r="C2199" s="113"/>
      <c r="D2199" s="113"/>
      <c r="E2199" s="114"/>
      <c r="K2199" s="110"/>
      <c r="L2199" s="111"/>
    </row>
    <row r="2200" spans="1:15" ht="14.25" customHeight="1" x14ac:dyDescent="0.2">
      <c r="A2200" s="10"/>
      <c r="B2200" s="110"/>
      <c r="C2200" s="113"/>
      <c r="D2200" s="113"/>
      <c r="E2200" s="114"/>
      <c r="K2200" s="110"/>
      <c r="L2200" s="111"/>
    </row>
    <row r="2201" spans="1:15" ht="14.25" customHeight="1" x14ac:dyDescent="0.2">
      <c r="A2201" s="10"/>
      <c r="B2201" s="110"/>
      <c r="C2201" s="113"/>
      <c r="D2201" s="113"/>
      <c r="E2201" s="114"/>
      <c r="K2201" s="110"/>
      <c r="L2201" s="111"/>
      <c r="O2201" s="116"/>
    </row>
    <row r="2202" spans="1:15" ht="14.25" customHeight="1" x14ac:dyDescent="0.2">
      <c r="A2202" s="10"/>
      <c r="B2202" s="110"/>
      <c r="C2202" s="113"/>
      <c r="D2202" s="113"/>
      <c r="E2202" s="114"/>
      <c r="K2202" s="110"/>
      <c r="L2202" s="111"/>
    </row>
    <row r="2203" spans="1:15" ht="14.25" customHeight="1" x14ac:dyDescent="0.2">
      <c r="A2203" s="10"/>
      <c r="B2203" s="110"/>
      <c r="C2203" s="113"/>
      <c r="D2203" s="113"/>
      <c r="E2203" s="114"/>
      <c r="K2203" s="110"/>
      <c r="L2203" s="111"/>
    </row>
    <row r="2204" spans="1:15" ht="14.25" customHeight="1" x14ac:dyDescent="0.2">
      <c r="A2204" s="10"/>
      <c r="B2204" s="110"/>
      <c r="C2204" s="113"/>
      <c r="D2204" s="113"/>
      <c r="E2204" s="114"/>
      <c r="K2204" s="110"/>
      <c r="L2204" s="111"/>
    </row>
    <row r="2205" spans="1:15" ht="14.25" customHeight="1" x14ac:dyDescent="0.2">
      <c r="A2205" s="10"/>
      <c r="B2205" s="110"/>
      <c r="C2205" s="113"/>
      <c r="D2205" s="113"/>
      <c r="E2205" s="114"/>
      <c r="K2205" s="110"/>
      <c r="L2205" s="111"/>
    </row>
    <row r="2206" spans="1:15" ht="14.25" customHeight="1" x14ac:dyDescent="0.2">
      <c r="A2206" s="10"/>
      <c r="B2206" s="110"/>
      <c r="C2206" s="113"/>
      <c r="D2206" s="113"/>
      <c r="E2206" s="114"/>
      <c r="K2206" s="110"/>
      <c r="L2206" s="111"/>
    </row>
    <row r="2207" spans="1:15" ht="14.25" customHeight="1" x14ac:dyDescent="0.2">
      <c r="A2207" s="10"/>
      <c r="B2207" s="110"/>
      <c r="C2207" s="113"/>
      <c r="D2207" s="113"/>
      <c r="E2207" s="114"/>
      <c r="K2207" s="110"/>
      <c r="L2207" s="111"/>
    </row>
    <row r="2208" spans="1:15" ht="14.25" customHeight="1" x14ac:dyDescent="0.2">
      <c r="A2208" s="10"/>
      <c r="B2208" s="110"/>
      <c r="C2208" s="113"/>
      <c r="D2208" s="113"/>
      <c r="E2208" s="114"/>
      <c r="K2208" s="110"/>
      <c r="L2208" s="111"/>
      <c r="O2208" s="116"/>
    </row>
    <row r="2209" spans="1:15" ht="14.25" customHeight="1" x14ac:dyDescent="0.2">
      <c r="A2209" s="10"/>
      <c r="B2209" s="110"/>
      <c r="C2209" s="113"/>
      <c r="D2209" s="113"/>
      <c r="E2209" s="114"/>
      <c r="K2209" s="110"/>
      <c r="L2209" s="111"/>
    </row>
    <row r="2210" spans="1:15" ht="14.25" customHeight="1" x14ac:dyDescent="0.2">
      <c r="A2210" s="10"/>
      <c r="B2210" s="110"/>
      <c r="C2210" s="113"/>
      <c r="D2210" s="113"/>
      <c r="E2210" s="114"/>
      <c r="K2210" s="110"/>
      <c r="L2210" s="111"/>
    </row>
    <row r="2211" spans="1:15" ht="14.25" customHeight="1" x14ac:dyDescent="0.2">
      <c r="A2211" s="10"/>
      <c r="B2211" s="110"/>
      <c r="C2211" s="113"/>
      <c r="D2211" s="113"/>
      <c r="E2211" s="114"/>
      <c r="K2211" s="110"/>
      <c r="L2211" s="111"/>
      <c r="O2211" s="116"/>
    </row>
    <row r="2212" spans="1:15" ht="14.25" customHeight="1" x14ac:dyDescent="0.2">
      <c r="A2212" s="10"/>
      <c r="B2212" s="110"/>
      <c r="C2212" s="113"/>
      <c r="D2212" s="113"/>
      <c r="E2212" s="114"/>
      <c r="K2212" s="110"/>
      <c r="L2212" s="111"/>
    </row>
    <row r="2213" spans="1:15" ht="14.25" customHeight="1" x14ac:dyDescent="0.2">
      <c r="A2213" s="10"/>
      <c r="B2213" s="110"/>
      <c r="C2213" s="113"/>
      <c r="D2213" s="113"/>
      <c r="E2213" s="114"/>
      <c r="K2213" s="110"/>
      <c r="L2213" s="111"/>
    </row>
    <row r="2214" spans="1:15" ht="14.25" customHeight="1" x14ac:dyDescent="0.2">
      <c r="A2214" s="10"/>
      <c r="B2214" s="110"/>
      <c r="C2214" s="113"/>
      <c r="D2214" s="113"/>
      <c r="E2214" s="114"/>
      <c r="K2214" s="110"/>
      <c r="L2214" s="111"/>
    </row>
    <row r="2215" spans="1:15" ht="14.25" customHeight="1" x14ac:dyDescent="0.2">
      <c r="A2215" s="10"/>
      <c r="B2215" s="110"/>
      <c r="C2215" s="113"/>
      <c r="D2215" s="113"/>
      <c r="E2215" s="114"/>
      <c r="K2215" s="110"/>
      <c r="L2215" s="111"/>
    </row>
    <row r="2216" spans="1:15" ht="14.25" customHeight="1" x14ac:dyDescent="0.2">
      <c r="A2216" s="10"/>
      <c r="B2216" s="110"/>
      <c r="C2216" s="113"/>
      <c r="D2216" s="113"/>
      <c r="E2216" s="114"/>
      <c r="K2216" s="110"/>
      <c r="L2216" s="111"/>
    </row>
    <row r="2217" spans="1:15" ht="14.25" customHeight="1" x14ac:dyDescent="0.2">
      <c r="A2217" s="10"/>
      <c r="B2217" s="110"/>
      <c r="C2217" s="113"/>
      <c r="D2217" s="113"/>
      <c r="E2217" s="114"/>
      <c r="K2217" s="110"/>
      <c r="L2217" s="111"/>
    </row>
    <row r="2218" spans="1:15" ht="14.25" customHeight="1" x14ac:dyDescent="0.2">
      <c r="A2218" s="10"/>
      <c r="B2218" s="110"/>
      <c r="C2218" s="113"/>
      <c r="D2218" s="113"/>
      <c r="E2218" s="114"/>
      <c r="K2218" s="110"/>
      <c r="L2218" s="111"/>
    </row>
    <row r="2219" spans="1:15" ht="14.25" customHeight="1" x14ac:dyDescent="0.2">
      <c r="A2219" s="10"/>
      <c r="B2219" s="110"/>
      <c r="C2219" s="113"/>
      <c r="D2219" s="113"/>
      <c r="E2219" s="114"/>
      <c r="K2219" s="110"/>
      <c r="L2219" s="111"/>
    </row>
    <row r="2220" spans="1:15" ht="14.25" customHeight="1" x14ac:dyDescent="0.2">
      <c r="A2220" s="10"/>
      <c r="B2220" s="110"/>
      <c r="C2220" s="113"/>
      <c r="D2220" s="113"/>
      <c r="E2220" s="114"/>
      <c r="K2220" s="110"/>
      <c r="L2220" s="111"/>
    </row>
    <row r="2221" spans="1:15" ht="14.25" customHeight="1" x14ac:dyDescent="0.2">
      <c r="A2221" s="10"/>
      <c r="B2221" s="110"/>
      <c r="C2221" s="113"/>
      <c r="D2221" s="113"/>
      <c r="E2221" s="114"/>
      <c r="K2221" s="110"/>
      <c r="L2221" s="111"/>
    </row>
    <row r="2222" spans="1:15" ht="14.25" customHeight="1" x14ac:dyDescent="0.2">
      <c r="A2222" s="10"/>
      <c r="B2222" s="110"/>
      <c r="C2222" s="113"/>
      <c r="D2222" s="113"/>
      <c r="E2222" s="114"/>
      <c r="K2222" s="110"/>
      <c r="L2222" s="111"/>
    </row>
    <row r="2223" spans="1:15" ht="14.25" customHeight="1" x14ac:dyDescent="0.2">
      <c r="A2223" s="10"/>
      <c r="B2223" s="110"/>
      <c r="C2223" s="113"/>
      <c r="D2223" s="113"/>
      <c r="E2223" s="114"/>
      <c r="K2223" s="110"/>
      <c r="L2223" s="111"/>
    </row>
    <row r="2224" spans="1:15" ht="14.25" customHeight="1" x14ac:dyDescent="0.2">
      <c r="A2224" s="10"/>
      <c r="B2224" s="110"/>
      <c r="C2224" s="113"/>
      <c r="D2224" s="113"/>
      <c r="E2224" s="114"/>
      <c r="K2224" s="110"/>
      <c r="L2224" s="111"/>
    </row>
    <row r="2225" spans="1:12" ht="14.25" customHeight="1" x14ac:dyDescent="0.2">
      <c r="A2225" s="10"/>
      <c r="B2225" s="110"/>
      <c r="C2225" s="113"/>
      <c r="D2225" s="113"/>
      <c r="E2225" s="114"/>
      <c r="K2225" s="110"/>
      <c r="L2225" s="111"/>
    </row>
    <row r="2226" spans="1:12" ht="14.25" customHeight="1" x14ac:dyDescent="0.2">
      <c r="A2226" s="10"/>
      <c r="B2226" s="110"/>
      <c r="C2226" s="113"/>
      <c r="D2226" s="113"/>
      <c r="E2226" s="114"/>
      <c r="K2226" s="110"/>
      <c r="L2226" s="111"/>
    </row>
    <row r="2227" spans="1:12" ht="14.25" customHeight="1" x14ac:dyDescent="0.2">
      <c r="A2227" s="10"/>
      <c r="B2227" s="110"/>
      <c r="C2227" s="113"/>
      <c r="D2227" s="113"/>
      <c r="E2227" s="114"/>
      <c r="K2227" s="110"/>
      <c r="L2227" s="111"/>
    </row>
    <row r="2228" spans="1:12" ht="14.25" customHeight="1" x14ac:dyDescent="0.2">
      <c r="A2228" s="10"/>
      <c r="B2228" s="110"/>
      <c r="C2228" s="113"/>
      <c r="D2228" s="113"/>
      <c r="E2228" s="114"/>
      <c r="K2228" s="110"/>
      <c r="L2228" s="111"/>
    </row>
    <row r="2229" spans="1:12" ht="14.25" customHeight="1" x14ac:dyDescent="0.2">
      <c r="A2229" s="10"/>
      <c r="B2229" s="110"/>
      <c r="C2229" s="113"/>
      <c r="D2229" s="113"/>
      <c r="E2229" s="114"/>
      <c r="K2229" s="110"/>
      <c r="L2229" s="111"/>
    </row>
    <row r="2230" spans="1:12" ht="14.25" customHeight="1" x14ac:dyDescent="0.2">
      <c r="A2230" s="10"/>
      <c r="B2230" s="110"/>
      <c r="C2230" s="113"/>
      <c r="D2230" s="113"/>
      <c r="E2230" s="114"/>
      <c r="K2230" s="110"/>
      <c r="L2230" s="111"/>
    </row>
    <row r="2231" spans="1:12" ht="14.25" customHeight="1" x14ac:dyDescent="0.2">
      <c r="A2231" s="10"/>
      <c r="B2231" s="110"/>
      <c r="C2231" s="113"/>
      <c r="D2231" s="113"/>
      <c r="E2231" s="114"/>
      <c r="K2231" s="110"/>
      <c r="L2231" s="111"/>
    </row>
    <row r="2232" spans="1:12" ht="14.25" customHeight="1" x14ac:dyDescent="0.2">
      <c r="A2232" s="10"/>
      <c r="B2232" s="110"/>
      <c r="C2232" s="113"/>
      <c r="D2232" s="113"/>
      <c r="E2232" s="114"/>
      <c r="K2232" s="110"/>
      <c r="L2232" s="111"/>
    </row>
    <row r="2233" spans="1:12" ht="14.25" customHeight="1" x14ac:dyDescent="0.2">
      <c r="A2233" s="10"/>
      <c r="B2233" s="110"/>
      <c r="C2233" s="113"/>
      <c r="D2233" s="113"/>
      <c r="E2233" s="114"/>
      <c r="K2233" s="110"/>
      <c r="L2233" s="111"/>
    </row>
    <row r="2234" spans="1:12" ht="14.25" customHeight="1" x14ac:dyDescent="0.2">
      <c r="A2234" s="10"/>
      <c r="B2234" s="110"/>
      <c r="C2234" s="113"/>
      <c r="D2234" s="113"/>
      <c r="E2234" s="114"/>
      <c r="K2234" s="110"/>
      <c r="L2234" s="111"/>
    </row>
    <row r="2235" spans="1:12" ht="14.25" customHeight="1" x14ac:dyDescent="0.2">
      <c r="A2235" s="10"/>
      <c r="B2235" s="110"/>
      <c r="C2235" s="113"/>
      <c r="D2235" s="113"/>
      <c r="E2235" s="114"/>
      <c r="K2235" s="110"/>
      <c r="L2235" s="111"/>
    </row>
    <row r="2236" spans="1:12" ht="14.25" customHeight="1" x14ac:dyDescent="0.2">
      <c r="A2236" s="10"/>
      <c r="B2236" s="110"/>
      <c r="C2236" s="113"/>
      <c r="D2236" s="113"/>
      <c r="E2236" s="114"/>
      <c r="K2236" s="110"/>
      <c r="L2236" s="111"/>
    </row>
    <row r="2237" spans="1:12" ht="14.25" customHeight="1" x14ac:dyDescent="0.2">
      <c r="A2237" s="10"/>
      <c r="B2237" s="110"/>
      <c r="C2237" s="113"/>
      <c r="D2237" s="113"/>
      <c r="E2237" s="114"/>
      <c r="K2237" s="110"/>
      <c r="L2237" s="111"/>
    </row>
    <row r="2238" spans="1:12" ht="14.25" customHeight="1" x14ac:dyDescent="0.2">
      <c r="A2238" s="10"/>
      <c r="B2238" s="110"/>
      <c r="C2238" s="113"/>
      <c r="D2238" s="113"/>
      <c r="E2238" s="114"/>
      <c r="K2238" s="110"/>
      <c r="L2238" s="111"/>
    </row>
    <row r="2239" spans="1:12" ht="14.25" customHeight="1" x14ac:dyDescent="0.2">
      <c r="A2239" s="10"/>
      <c r="B2239" s="110"/>
      <c r="C2239" s="113"/>
      <c r="D2239" s="113"/>
      <c r="E2239" s="114"/>
      <c r="K2239" s="110"/>
      <c r="L2239" s="111"/>
    </row>
    <row r="2240" spans="1:12" ht="14.25" customHeight="1" x14ac:dyDescent="0.2">
      <c r="A2240" s="10"/>
      <c r="B2240" s="110"/>
      <c r="C2240" s="113"/>
      <c r="D2240" s="113"/>
      <c r="E2240" s="114"/>
      <c r="K2240" s="110"/>
      <c r="L2240" s="111"/>
    </row>
    <row r="2241" spans="1:15" ht="14.25" customHeight="1" x14ac:dyDescent="0.2">
      <c r="A2241" s="10"/>
      <c r="B2241" s="110"/>
      <c r="C2241" s="113"/>
      <c r="D2241" s="113"/>
      <c r="E2241" s="114"/>
      <c r="K2241" s="110"/>
      <c r="L2241" s="111"/>
    </row>
    <row r="2242" spans="1:15" ht="14.25" customHeight="1" x14ac:dyDescent="0.2">
      <c r="A2242" s="10"/>
      <c r="B2242" s="110"/>
      <c r="C2242" s="113"/>
      <c r="D2242" s="113"/>
      <c r="E2242" s="114"/>
      <c r="K2242" s="110"/>
      <c r="L2242" s="111"/>
    </row>
    <row r="2243" spans="1:15" ht="14.25" customHeight="1" x14ac:dyDescent="0.2">
      <c r="A2243" s="10"/>
      <c r="B2243" s="110"/>
      <c r="C2243" s="113"/>
      <c r="D2243" s="113"/>
      <c r="E2243" s="114"/>
      <c r="K2243" s="110"/>
      <c r="L2243" s="111"/>
    </row>
    <row r="2244" spans="1:15" ht="14.25" customHeight="1" x14ac:dyDescent="0.2">
      <c r="A2244" s="10"/>
      <c r="B2244" s="110"/>
      <c r="C2244" s="113"/>
      <c r="D2244" s="113"/>
      <c r="E2244" s="114"/>
      <c r="K2244" s="110"/>
      <c r="L2244" s="111"/>
    </row>
    <row r="2245" spans="1:15" ht="14.25" customHeight="1" x14ac:dyDescent="0.2">
      <c r="A2245" s="10"/>
      <c r="B2245" s="110"/>
      <c r="C2245" s="113"/>
      <c r="D2245" s="113"/>
      <c r="E2245" s="114"/>
      <c r="K2245" s="110"/>
      <c r="L2245" s="111"/>
    </row>
    <row r="2246" spans="1:15" ht="14.25" customHeight="1" x14ac:dyDescent="0.2">
      <c r="A2246" s="10"/>
      <c r="B2246" s="110"/>
      <c r="C2246" s="113"/>
      <c r="D2246" s="113"/>
      <c r="E2246" s="114"/>
      <c r="K2246" s="110"/>
      <c r="L2246" s="111"/>
    </row>
    <row r="2247" spans="1:15" ht="14.25" customHeight="1" x14ac:dyDescent="0.2">
      <c r="A2247" s="10"/>
      <c r="B2247" s="110"/>
      <c r="C2247" s="113"/>
      <c r="D2247" s="113"/>
      <c r="E2247" s="114"/>
      <c r="K2247" s="110"/>
      <c r="L2247" s="111"/>
    </row>
    <row r="2248" spans="1:15" ht="14.25" customHeight="1" x14ac:dyDescent="0.2">
      <c r="A2248" s="10"/>
      <c r="B2248" s="110"/>
      <c r="C2248" s="113"/>
      <c r="D2248" s="113"/>
      <c r="E2248" s="114"/>
      <c r="K2248" s="110"/>
      <c r="L2248" s="111"/>
    </row>
    <row r="2249" spans="1:15" ht="14.25" customHeight="1" x14ac:dyDescent="0.2">
      <c r="A2249" s="10"/>
      <c r="B2249" s="110"/>
      <c r="C2249" s="113"/>
      <c r="D2249" s="113"/>
      <c r="E2249" s="114"/>
      <c r="K2249" s="110"/>
      <c r="L2249" s="111"/>
      <c r="O2249" s="116"/>
    </row>
    <row r="2250" spans="1:15" ht="14.25" customHeight="1" x14ac:dyDescent="0.2">
      <c r="A2250" s="10"/>
      <c r="B2250" s="110"/>
      <c r="C2250" s="113"/>
      <c r="D2250" s="113"/>
      <c r="E2250" s="114"/>
      <c r="K2250" s="110"/>
      <c r="L2250" s="111"/>
    </row>
    <row r="2251" spans="1:15" ht="14.25" customHeight="1" x14ac:dyDescent="0.2">
      <c r="A2251" s="10"/>
      <c r="B2251" s="110"/>
      <c r="C2251" s="113"/>
      <c r="D2251" s="113"/>
      <c r="E2251" s="114"/>
      <c r="K2251" s="110"/>
      <c r="L2251" s="111"/>
    </row>
    <row r="2252" spans="1:15" ht="14.25" customHeight="1" x14ac:dyDescent="0.2">
      <c r="A2252" s="10"/>
      <c r="B2252" s="110"/>
      <c r="C2252" s="113"/>
      <c r="D2252" s="113"/>
      <c r="E2252" s="114"/>
      <c r="K2252" s="110"/>
      <c r="L2252" s="111"/>
    </row>
    <row r="2253" spans="1:15" ht="14.25" customHeight="1" x14ac:dyDescent="0.2">
      <c r="A2253" s="10"/>
      <c r="B2253" s="110"/>
      <c r="C2253" s="113"/>
      <c r="D2253" s="113"/>
      <c r="E2253" s="114"/>
      <c r="K2253" s="110"/>
      <c r="L2253" s="111"/>
    </row>
    <row r="2254" spans="1:15" ht="14.25" customHeight="1" x14ac:dyDescent="0.2">
      <c r="A2254" s="10"/>
      <c r="B2254" s="110"/>
      <c r="C2254" s="113"/>
      <c r="D2254" s="113"/>
      <c r="E2254" s="114"/>
      <c r="K2254" s="110"/>
      <c r="L2254" s="111"/>
    </row>
    <row r="2255" spans="1:15" ht="14.25" customHeight="1" x14ac:dyDescent="0.2">
      <c r="A2255" s="10"/>
      <c r="B2255" s="110"/>
      <c r="C2255" s="113"/>
      <c r="D2255" s="113"/>
      <c r="E2255" s="114"/>
      <c r="K2255" s="110"/>
      <c r="L2255" s="111"/>
    </row>
    <row r="2256" spans="1:15" ht="14.25" customHeight="1" x14ac:dyDescent="0.2">
      <c r="A2256" s="10"/>
      <c r="B2256" s="110"/>
      <c r="C2256" s="113"/>
      <c r="D2256" s="113"/>
      <c r="E2256" s="114"/>
      <c r="K2256" s="110"/>
      <c r="L2256" s="111"/>
    </row>
    <row r="2257" spans="1:15" ht="14.25" customHeight="1" x14ac:dyDescent="0.2">
      <c r="A2257" s="10"/>
      <c r="B2257" s="110"/>
      <c r="C2257" s="113"/>
      <c r="D2257" s="113"/>
      <c r="E2257" s="114"/>
      <c r="K2257" s="110"/>
      <c r="L2257" s="111"/>
    </row>
    <row r="2258" spans="1:15" ht="14.25" customHeight="1" x14ac:dyDescent="0.2">
      <c r="A2258" s="10"/>
      <c r="B2258" s="110"/>
      <c r="C2258" s="113"/>
      <c r="D2258" s="113"/>
      <c r="E2258" s="114"/>
      <c r="K2258" s="110"/>
      <c r="L2258" s="111"/>
    </row>
    <row r="2259" spans="1:15" ht="14.25" customHeight="1" x14ac:dyDescent="0.2">
      <c r="A2259" s="10"/>
      <c r="B2259" s="110"/>
      <c r="C2259" s="113"/>
      <c r="D2259" s="113"/>
      <c r="E2259" s="114"/>
      <c r="K2259" s="110"/>
      <c r="L2259" s="111"/>
    </row>
    <row r="2260" spans="1:15" ht="14.25" customHeight="1" x14ac:dyDescent="0.2">
      <c r="A2260" s="10"/>
      <c r="B2260" s="110"/>
      <c r="C2260" s="113"/>
      <c r="D2260" s="113"/>
      <c r="E2260" s="114"/>
      <c r="K2260" s="110"/>
      <c r="L2260" s="111"/>
    </row>
    <row r="2261" spans="1:15" ht="14.25" customHeight="1" x14ac:dyDescent="0.2">
      <c r="A2261" s="10"/>
      <c r="B2261" s="110"/>
      <c r="C2261" s="113"/>
      <c r="D2261" s="113"/>
      <c r="E2261" s="114"/>
      <c r="K2261" s="110"/>
      <c r="L2261" s="111"/>
    </row>
    <row r="2262" spans="1:15" ht="14.25" customHeight="1" x14ac:dyDescent="0.2">
      <c r="A2262" s="10"/>
      <c r="B2262" s="110"/>
      <c r="C2262" s="113"/>
      <c r="D2262" s="113"/>
      <c r="E2262" s="114"/>
      <c r="K2262" s="110"/>
      <c r="L2262" s="111"/>
    </row>
    <row r="2263" spans="1:15" ht="14.25" customHeight="1" x14ac:dyDescent="0.2">
      <c r="A2263" s="10"/>
      <c r="B2263" s="110"/>
      <c r="C2263" s="113"/>
      <c r="D2263" s="113"/>
      <c r="E2263" s="114"/>
      <c r="K2263" s="110"/>
      <c r="L2263" s="111"/>
    </row>
    <row r="2264" spans="1:15" ht="14.25" customHeight="1" x14ac:dyDescent="0.2">
      <c r="A2264" s="10"/>
      <c r="B2264" s="110"/>
      <c r="C2264" s="113"/>
      <c r="D2264" s="113"/>
      <c r="E2264" s="114"/>
      <c r="K2264" s="110"/>
      <c r="L2264" s="111"/>
    </row>
    <row r="2265" spans="1:15" ht="14.25" customHeight="1" x14ac:dyDescent="0.2">
      <c r="A2265" s="10"/>
      <c r="B2265" s="110"/>
      <c r="C2265" s="113"/>
      <c r="D2265" s="113"/>
      <c r="E2265" s="114"/>
      <c r="K2265" s="110"/>
      <c r="L2265" s="111"/>
    </row>
    <row r="2266" spans="1:15" ht="14.25" customHeight="1" x14ac:dyDescent="0.2">
      <c r="A2266" s="10"/>
      <c r="B2266" s="110"/>
      <c r="C2266" s="113"/>
      <c r="D2266" s="113"/>
      <c r="E2266" s="114"/>
      <c r="K2266" s="110"/>
      <c r="L2266" s="111"/>
    </row>
    <row r="2267" spans="1:15" ht="14.25" customHeight="1" x14ac:dyDescent="0.2">
      <c r="A2267" s="10"/>
      <c r="B2267" s="110"/>
      <c r="C2267" s="113"/>
      <c r="D2267" s="113"/>
      <c r="E2267" s="114"/>
      <c r="K2267" s="110"/>
      <c r="L2267" s="111"/>
    </row>
    <row r="2268" spans="1:15" ht="14.25" customHeight="1" x14ac:dyDescent="0.2">
      <c r="A2268" s="10"/>
      <c r="B2268" s="110"/>
      <c r="C2268" s="113"/>
      <c r="D2268" s="113"/>
      <c r="E2268" s="114"/>
      <c r="K2268" s="110"/>
      <c r="L2268" s="111"/>
    </row>
    <row r="2269" spans="1:15" ht="14.25" customHeight="1" x14ac:dyDescent="0.2">
      <c r="A2269" s="10"/>
      <c r="B2269" s="110"/>
      <c r="C2269" s="113"/>
      <c r="D2269" s="113"/>
      <c r="E2269" s="114"/>
      <c r="K2269" s="110"/>
      <c r="L2269" s="111"/>
      <c r="O2269" s="116"/>
    </row>
    <row r="2270" spans="1:15" ht="14.25" customHeight="1" x14ac:dyDescent="0.2">
      <c r="A2270" s="10"/>
      <c r="B2270" s="110"/>
      <c r="C2270" s="113"/>
      <c r="D2270" s="113"/>
      <c r="E2270" s="114"/>
      <c r="K2270" s="110"/>
      <c r="L2270" s="111"/>
    </row>
    <row r="2271" spans="1:15" ht="14.25" customHeight="1" x14ac:dyDescent="0.2">
      <c r="A2271" s="10"/>
      <c r="B2271" s="110"/>
      <c r="C2271" s="113"/>
      <c r="D2271" s="113"/>
      <c r="E2271" s="114"/>
      <c r="K2271" s="110"/>
      <c r="L2271" s="111"/>
    </row>
    <row r="2272" spans="1:15" ht="14.25" customHeight="1" x14ac:dyDescent="0.2">
      <c r="A2272" s="10"/>
      <c r="B2272" s="110"/>
      <c r="C2272" s="113"/>
      <c r="D2272" s="113"/>
      <c r="E2272" s="114"/>
      <c r="K2272" s="110"/>
      <c r="L2272" s="111"/>
    </row>
    <row r="2273" spans="1:12" ht="14.25" customHeight="1" x14ac:dyDescent="0.2">
      <c r="A2273" s="10"/>
      <c r="B2273" s="110"/>
      <c r="C2273" s="113"/>
      <c r="D2273" s="113"/>
      <c r="E2273" s="114"/>
      <c r="K2273" s="110"/>
      <c r="L2273" s="111"/>
    </row>
    <row r="2274" spans="1:12" ht="14.25" customHeight="1" x14ac:dyDescent="0.2">
      <c r="A2274" s="10"/>
      <c r="B2274" s="110"/>
      <c r="C2274" s="113"/>
      <c r="D2274" s="113"/>
      <c r="E2274" s="114"/>
      <c r="K2274" s="110"/>
      <c r="L2274" s="111"/>
    </row>
    <row r="2275" spans="1:12" ht="14.25" customHeight="1" x14ac:dyDescent="0.2">
      <c r="A2275" s="10"/>
      <c r="B2275" s="110"/>
      <c r="C2275" s="113"/>
      <c r="D2275" s="113"/>
      <c r="E2275" s="114"/>
      <c r="K2275" s="110"/>
      <c r="L2275" s="111"/>
    </row>
    <row r="2276" spans="1:12" ht="14.25" customHeight="1" x14ac:dyDescent="0.2">
      <c r="A2276" s="10"/>
      <c r="B2276" s="110"/>
      <c r="C2276" s="113"/>
      <c r="D2276" s="113"/>
      <c r="E2276" s="114"/>
      <c r="K2276" s="110"/>
      <c r="L2276" s="111"/>
    </row>
    <row r="2277" spans="1:12" ht="14.25" customHeight="1" x14ac:dyDescent="0.2">
      <c r="A2277" s="10"/>
      <c r="B2277" s="110"/>
      <c r="C2277" s="113"/>
      <c r="D2277" s="113"/>
      <c r="E2277" s="114"/>
      <c r="K2277" s="110"/>
      <c r="L2277" s="111"/>
    </row>
    <row r="2278" spans="1:12" ht="14.25" customHeight="1" x14ac:dyDescent="0.2">
      <c r="A2278" s="10"/>
      <c r="B2278" s="110"/>
      <c r="C2278" s="113"/>
      <c r="D2278" s="113"/>
      <c r="E2278" s="114"/>
      <c r="K2278" s="110"/>
      <c r="L2278" s="111"/>
    </row>
    <row r="2279" spans="1:12" ht="14.25" customHeight="1" x14ac:dyDescent="0.2">
      <c r="A2279" s="10"/>
      <c r="B2279" s="110"/>
      <c r="C2279" s="113"/>
      <c r="D2279" s="113"/>
      <c r="E2279" s="114"/>
      <c r="K2279" s="110"/>
      <c r="L2279" s="111"/>
    </row>
    <row r="2280" spans="1:12" ht="14.25" customHeight="1" x14ac:dyDescent="0.2">
      <c r="A2280" s="10"/>
      <c r="B2280" s="110"/>
      <c r="C2280" s="113"/>
      <c r="D2280" s="113"/>
      <c r="E2280" s="114"/>
      <c r="K2280" s="110"/>
      <c r="L2280" s="111"/>
    </row>
    <row r="2281" spans="1:12" ht="14.25" customHeight="1" x14ac:dyDescent="0.2">
      <c r="A2281" s="10"/>
      <c r="B2281" s="110"/>
      <c r="C2281" s="113"/>
      <c r="D2281" s="113"/>
      <c r="E2281" s="114"/>
      <c r="K2281" s="110"/>
      <c r="L2281" s="111"/>
    </row>
    <row r="2282" spans="1:12" ht="14.25" customHeight="1" x14ac:dyDescent="0.2">
      <c r="A2282" s="10"/>
      <c r="B2282" s="110"/>
      <c r="C2282" s="113"/>
      <c r="D2282" s="113"/>
      <c r="E2282" s="114"/>
      <c r="K2282" s="110"/>
      <c r="L2282" s="111"/>
    </row>
    <row r="2283" spans="1:12" ht="14.25" customHeight="1" x14ac:dyDescent="0.2">
      <c r="A2283" s="10"/>
      <c r="B2283" s="110"/>
      <c r="C2283" s="113"/>
      <c r="D2283" s="113"/>
      <c r="E2283" s="114"/>
      <c r="K2283" s="110"/>
      <c r="L2283" s="111"/>
    </row>
    <row r="2284" spans="1:12" ht="14.25" customHeight="1" x14ac:dyDescent="0.2">
      <c r="A2284" s="10"/>
      <c r="B2284" s="110"/>
      <c r="C2284" s="113"/>
      <c r="D2284" s="113"/>
      <c r="E2284" s="114"/>
      <c r="K2284" s="110"/>
      <c r="L2284" s="111"/>
    </row>
    <row r="2285" spans="1:12" ht="14.25" customHeight="1" x14ac:dyDescent="0.2">
      <c r="A2285" s="10"/>
      <c r="B2285" s="110"/>
      <c r="C2285" s="113"/>
      <c r="D2285" s="113"/>
      <c r="E2285" s="114"/>
      <c r="K2285" s="110"/>
      <c r="L2285" s="111"/>
    </row>
    <row r="2286" spans="1:12" ht="14.25" customHeight="1" x14ac:dyDescent="0.2">
      <c r="A2286" s="10"/>
      <c r="B2286" s="110"/>
      <c r="C2286" s="113"/>
      <c r="D2286" s="113"/>
      <c r="E2286" s="114"/>
      <c r="K2286" s="110"/>
      <c r="L2286" s="111"/>
    </row>
    <row r="2287" spans="1:12" ht="14.25" customHeight="1" x14ac:dyDescent="0.2">
      <c r="A2287" s="10"/>
      <c r="B2287" s="110"/>
      <c r="C2287" s="113"/>
      <c r="D2287" s="113"/>
      <c r="E2287" s="114"/>
      <c r="K2287" s="110"/>
      <c r="L2287" s="111"/>
    </row>
    <row r="2288" spans="1:12" ht="14.25" customHeight="1" x14ac:dyDescent="0.2">
      <c r="A2288" s="10"/>
      <c r="B2288" s="110"/>
      <c r="C2288" s="113"/>
      <c r="D2288" s="113"/>
      <c r="E2288" s="114"/>
      <c r="K2288" s="110"/>
      <c r="L2288" s="111"/>
    </row>
    <row r="2289" spans="1:15" ht="14.25" customHeight="1" x14ac:dyDescent="0.2">
      <c r="A2289" s="10"/>
      <c r="B2289" s="110"/>
      <c r="C2289" s="113"/>
      <c r="D2289" s="113"/>
      <c r="E2289" s="114"/>
      <c r="K2289" s="110"/>
      <c r="L2289" s="111"/>
      <c r="O2289" s="116"/>
    </row>
    <row r="2290" spans="1:15" ht="15" customHeight="1" x14ac:dyDescent="0.2">
      <c r="C2290" s="113"/>
      <c r="D2290" s="113"/>
      <c r="E2290" s="114"/>
      <c r="K2290" s="110"/>
      <c r="L2290" s="111"/>
    </row>
    <row r="2291" spans="1:15" ht="15" customHeight="1" x14ac:dyDescent="0.2">
      <c r="C2291" s="113"/>
      <c r="D2291" s="113"/>
      <c r="E2291" s="114"/>
      <c r="K2291" s="110"/>
      <c r="L2291" s="111"/>
    </row>
    <row r="2292" spans="1:15" ht="15" customHeight="1" x14ac:dyDescent="0.2">
      <c r="C2292" s="113"/>
      <c r="D2292" s="113"/>
      <c r="E2292" s="114"/>
      <c r="K2292" s="110"/>
      <c r="L2292" s="111"/>
    </row>
    <row r="2293" spans="1:15" ht="15" customHeight="1" x14ac:dyDescent="0.2">
      <c r="C2293" s="113"/>
      <c r="D2293" s="113"/>
      <c r="E2293" s="114"/>
      <c r="K2293" s="110"/>
      <c r="L2293" s="111"/>
    </row>
    <row r="2294" spans="1:15" ht="15" customHeight="1" x14ac:dyDescent="0.2">
      <c r="C2294" s="113"/>
      <c r="D2294" s="113"/>
      <c r="E2294" s="114"/>
      <c r="K2294" s="110"/>
      <c r="L2294" s="111"/>
    </row>
    <row r="2295" spans="1:15" ht="15" customHeight="1" x14ac:dyDescent="0.2">
      <c r="C2295" s="113"/>
      <c r="D2295" s="113"/>
      <c r="E2295" s="114"/>
      <c r="K2295" s="110"/>
      <c r="L2295" s="111"/>
    </row>
    <row r="2296" spans="1:15" ht="15" customHeight="1" x14ac:dyDescent="0.2">
      <c r="C2296" s="113"/>
      <c r="D2296" s="113"/>
      <c r="E2296" s="114"/>
      <c r="K2296" s="110"/>
      <c r="L2296" s="111"/>
    </row>
    <row r="2297" spans="1:15" ht="15" customHeight="1" x14ac:dyDescent="0.2">
      <c r="C2297" s="113"/>
      <c r="D2297" s="113"/>
      <c r="E2297" s="114"/>
      <c r="K2297" s="110"/>
      <c r="L2297" s="111"/>
    </row>
    <row r="2298" spans="1:15" ht="15" customHeight="1" x14ac:dyDescent="0.2">
      <c r="C2298" s="113"/>
      <c r="D2298" s="113"/>
      <c r="E2298" s="114"/>
      <c r="K2298" s="110"/>
      <c r="L2298" s="111"/>
    </row>
    <row r="2299" spans="1:15" ht="15" customHeight="1" x14ac:dyDescent="0.2">
      <c r="C2299" s="113"/>
      <c r="D2299" s="113"/>
      <c r="E2299" s="114"/>
      <c r="K2299" s="110"/>
      <c r="L2299" s="111"/>
    </row>
    <row r="2300" spans="1:15" ht="15" customHeight="1" x14ac:dyDescent="0.2">
      <c r="C2300" s="113"/>
      <c r="D2300" s="113"/>
      <c r="E2300" s="114"/>
      <c r="K2300" s="110"/>
      <c r="L2300" s="111"/>
    </row>
    <row r="2301" spans="1:15" ht="15" customHeight="1" x14ac:dyDescent="0.2">
      <c r="C2301" s="113"/>
      <c r="D2301" s="113"/>
      <c r="E2301" s="114"/>
      <c r="K2301" s="110"/>
      <c r="L2301" s="111"/>
    </row>
    <row r="2302" spans="1:15" ht="15" customHeight="1" x14ac:dyDescent="0.2">
      <c r="C2302" s="113"/>
      <c r="D2302" s="113"/>
      <c r="E2302" s="114"/>
      <c r="K2302" s="110"/>
      <c r="L2302" s="111"/>
    </row>
    <row r="2303" spans="1:15" ht="15" customHeight="1" x14ac:dyDescent="0.2">
      <c r="C2303" s="113"/>
      <c r="D2303" s="113"/>
      <c r="E2303" s="114"/>
      <c r="K2303" s="110"/>
      <c r="L2303" s="111"/>
    </row>
    <row r="2304" spans="1:15" ht="15" customHeight="1" x14ac:dyDescent="0.2">
      <c r="C2304" s="113"/>
      <c r="D2304" s="113"/>
      <c r="E2304" s="114"/>
      <c r="K2304" s="110"/>
      <c r="L2304" s="111"/>
    </row>
    <row r="2305" spans="3:12" ht="15" customHeight="1" x14ac:dyDescent="0.2">
      <c r="C2305" s="113"/>
      <c r="D2305" s="113"/>
      <c r="E2305" s="114"/>
      <c r="K2305" s="110"/>
      <c r="L2305" s="111"/>
    </row>
    <row r="2306" spans="3:12" ht="15" customHeight="1" x14ac:dyDescent="0.2">
      <c r="C2306" s="113"/>
      <c r="D2306" s="113"/>
      <c r="E2306" s="114"/>
      <c r="K2306" s="110"/>
      <c r="L2306" s="111"/>
    </row>
    <row r="2307" spans="3:12" ht="15" customHeight="1" x14ac:dyDescent="0.2">
      <c r="C2307" s="113"/>
      <c r="D2307" s="113"/>
      <c r="E2307" s="114"/>
      <c r="K2307" s="110"/>
      <c r="L2307" s="111"/>
    </row>
    <row r="2308" spans="3:12" ht="15" customHeight="1" x14ac:dyDescent="0.2">
      <c r="C2308" s="113"/>
      <c r="D2308" s="113"/>
      <c r="E2308" s="114"/>
      <c r="K2308" s="110"/>
      <c r="L2308" s="111"/>
    </row>
    <row r="2309" spans="3:12" ht="15" customHeight="1" x14ac:dyDescent="0.2">
      <c r="C2309" s="113"/>
      <c r="D2309" s="113"/>
      <c r="E2309" s="114"/>
      <c r="K2309" s="110"/>
      <c r="L2309" s="111"/>
    </row>
    <row r="2310" spans="3:12" ht="15" customHeight="1" x14ac:dyDescent="0.2">
      <c r="C2310" s="113"/>
      <c r="D2310" s="113"/>
      <c r="E2310" s="114"/>
      <c r="K2310" s="110"/>
      <c r="L2310" s="111"/>
    </row>
    <row r="2311" spans="3:12" ht="15" customHeight="1" x14ac:dyDescent="0.2">
      <c r="C2311" s="113"/>
      <c r="D2311" s="113"/>
      <c r="E2311" s="114"/>
      <c r="K2311" s="110"/>
      <c r="L2311" s="111"/>
    </row>
    <row r="2312" spans="3:12" ht="15" customHeight="1" x14ac:dyDescent="0.2">
      <c r="C2312" s="113"/>
      <c r="D2312" s="113"/>
      <c r="E2312" s="114"/>
      <c r="K2312" s="110"/>
      <c r="L2312" s="111"/>
    </row>
    <row r="2313" spans="3:12" ht="15" customHeight="1" x14ac:dyDescent="0.2">
      <c r="C2313" s="113"/>
      <c r="D2313" s="113"/>
      <c r="E2313" s="114"/>
      <c r="K2313" s="110"/>
      <c r="L2313" s="111"/>
    </row>
    <row r="2314" spans="3:12" ht="15" customHeight="1" x14ac:dyDescent="0.2">
      <c r="C2314" s="113"/>
      <c r="D2314" s="113"/>
      <c r="E2314" s="114"/>
      <c r="K2314" s="110"/>
      <c r="L2314" s="111"/>
    </row>
    <row r="2315" spans="3:12" ht="15" customHeight="1" x14ac:dyDescent="0.2">
      <c r="C2315" s="113"/>
      <c r="D2315" s="113"/>
      <c r="E2315" s="114"/>
      <c r="K2315" s="110"/>
      <c r="L2315" s="111"/>
    </row>
    <row r="2316" spans="3:12" ht="15" customHeight="1" x14ac:dyDescent="0.2">
      <c r="C2316" s="113"/>
      <c r="D2316" s="113"/>
      <c r="E2316" s="114"/>
      <c r="K2316" s="110"/>
      <c r="L2316" s="111"/>
    </row>
    <row r="2317" spans="3:12" ht="15" customHeight="1" x14ac:dyDescent="0.2">
      <c r="C2317" s="113"/>
      <c r="D2317" s="113"/>
      <c r="E2317" s="114"/>
      <c r="K2317" s="110"/>
      <c r="L2317" s="111"/>
    </row>
    <row r="2318" spans="3:12" ht="15" customHeight="1" x14ac:dyDescent="0.2">
      <c r="C2318" s="113"/>
      <c r="D2318" s="113"/>
      <c r="E2318" s="114"/>
      <c r="K2318" s="110"/>
      <c r="L2318" s="111"/>
    </row>
    <row r="2319" spans="3:12" ht="15" customHeight="1" x14ac:dyDescent="0.2">
      <c r="C2319" s="113"/>
      <c r="D2319" s="113"/>
      <c r="E2319" s="114"/>
      <c r="K2319" s="110"/>
      <c r="L2319" s="111"/>
    </row>
    <row r="2320" spans="3:12" ht="15" customHeight="1" x14ac:dyDescent="0.2">
      <c r="C2320" s="113"/>
      <c r="D2320" s="113"/>
      <c r="E2320" s="114"/>
      <c r="K2320" s="110"/>
      <c r="L2320" s="111"/>
    </row>
    <row r="2321" spans="3:15" ht="15" customHeight="1" x14ac:dyDescent="0.2">
      <c r="C2321" s="113"/>
      <c r="D2321" s="113"/>
      <c r="E2321" s="114"/>
      <c r="K2321" s="110"/>
      <c r="L2321" s="111"/>
    </row>
    <row r="2322" spans="3:15" ht="15" customHeight="1" x14ac:dyDescent="0.2">
      <c r="C2322" s="113"/>
      <c r="D2322" s="113"/>
      <c r="E2322" s="114"/>
      <c r="K2322" s="110"/>
      <c r="L2322" s="111"/>
    </row>
    <row r="2323" spans="3:15" ht="15" customHeight="1" x14ac:dyDescent="0.2">
      <c r="C2323" s="113"/>
      <c r="D2323" s="113"/>
      <c r="E2323" s="114"/>
      <c r="K2323" s="110"/>
      <c r="L2323" s="111"/>
    </row>
    <row r="2324" spans="3:15" ht="15" customHeight="1" x14ac:dyDescent="0.2">
      <c r="C2324" s="113"/>
      <c r="D2324" s="113"/>
      <c r="E2324" s="114"/>
      <c r="K2324" s="110"/>
      <c r="L2324" s="111"/>
    </row>
    <row r="2325" spans="3:15" ht="15" customHeight="1" x14ac:dyDescent="0.2">
      <c r="C2325" s="113"/>
      <c r="D2325" s="113"/>
      <c r="E2325" s="114"/>
      <c r="K2325" s="110"/>
      <c r="L2325" s="111"/>
    </row>
    <row r="2326" spans="3:15" ht="15" customHeight="1" x14ac:dyDescent="0.2">
      <c r="C2326" s="113"/>
      <c r="D2326" s="113"/>
      <c r="E2326" s="114"/>
      <c r="K2326" s="110"/>
      <c r="L2326" s="111"/>
    </row>
    <row r="2327" spans="3:15" ht="15" customHeight="1" x14ac:dyDescent="0.2">
      <c r="C2327" s="113"/>
      <c r="D2327" s="113"/>
      <c r="E2327" s="114"/>
      <c r="K2327" s="110"/>
      <c r="L2327" s="111"/>
    </row>
    <row r="2328" spans="3:15" ht="15" customHeight="1" x14ac:dyDescent="0.2">
      <c r="C2328" s="113"/>
      <c r="D2328" s="113"/>
      <c r="E2328" s="114"/>
      <c r="K2328" s="110"/>
      <c r="L2328" s="111"/>
    </row>
    <row r="2329" spans="3:15" ht="15" customHeight="1" x14ac:dyDescent="0.2">
      <c r="C2329" s="113"/>
      <c r="D2329" s="113"/>
      <c r="E2329" s="114"/>
      <c r="K2329" s="110"/>
      <c r="L2329" s="111"/>
    </row>
    <row r="2330" spans="3:15" ht="15" customHeight="1" x14ac:dyDescent="0.2">
      <c r="C2330" s="113"/>
      <c r="D2330" s="113"/>
      <c r="E2330" s="114"/>
      <c r="K2330" s="110"/>
      <c r="L2330" s="111"/>
    </row>
    <row r="2331" spans="3:15" ht="15" customHeight="1" x14ac:dyDescent="0.2">
      <c r="C2331" s="113"/>
      <c r="D2331" s="113"/>
      <c r="E2331" s="114"/>
      <c r="K2331" s="110"/>
      <c r="L2331" s="111"/>
    </row>
    <row r="2332" spans="3:15" ht="15" customHeight="1" x14ac:dyDescent="0.2">
      <c r="C2332" s="113"/>
      <c r="D2332" s="113"/>
      <c r="E2332" s="114"/>
      <c r="K2332" s="110"/>
      <c r="L2332" s="111"/>
    </row>
    <row r="2333" spans="3:15" ht="15" customHeight="1" x14ac:dyDescent="0.2">
      <c r="C2333" s="113"/>
      <c r="D2333" s="113"/>
      <c r="E2333" s="114"/>
      <c r="K2333" s="110"/>
      <c r="L2333" s="111"/>
      <c r="O2333" s="116"/>
    </row>
    <row r="2334" spans="3:15" ht="15" customHeight="1" x14ac:dyDescent="0.2">
      <c r="C2334" s="113"/>
      <c r="D2334" s="113"/>
      <c r="E2334" s="114"/>
      <c r="K2334" s="110"/>
      <c r="L2334" s="111"/>
    </row>
    <row r="2335" spans="3:15" ht="15" customHeight="1" x14ac:dyDescent="0.2">
      <c r="C2335" s="113"/>
      <c r="D2335" s="113"/>
      <c r="E2335" s="114"/>
      <c r="K2335" s="110"/>
      <c r="L2335" s="111"/>
    </row>
    <row r="2336" spans="3:15" ht="15" customHeight="1" x14ac:dyDescent="0.2">
      <c r="C2336" s="113"/>
      <c r="D2336" s="113"/>
      <c r="E2336" s="114"/>
      <c r="K2336" s="110"/>
      <c r="L2336" s="111"/>
    </row>
    <row r="2337" spans="3:13" ht="15" customHeight="1" x14ac:dyDescent="0.2">
      <c r="C2337" s="113"/>
      <c r="D2337" s="113"/>
      <c r="E2337" s="114"/>
      <c r="K2337" s="110"/>
      <c r="L2337" s="111"/>
    </row>
    <row r="2338" spans="3:13" ht="15" customHeight="1" x14ac:dyDescent="0.2">
      <c r="C2338" s="113"/>
      <c r="D2338" s="113"/>
      <c r="E2338" s="114"/>
      <c r="K2338" s="110"/>
      <c r="L2338" s="111"/>
    </row>
    <row r="2339" spans="3:13" ht="15" customHeight="1" x14ac:dyDescent="0.2">
      <c r="C2339" s="113"/>
      <c r="D2339" s="113"/>
      <c r="E2339" s="114"/>
      <c r="K2339" s="110"/>
      <c r="L2339" s="111"/>
    </row>
    <row r="2340" spans="3:13" ht="15" customHeight="1" x14ac:dyDescent="0.2">
      <c r="C2340" s="113"/>
      <c r="D2340" s="113"/>
      <c r="E2340" s="114"/>
      <c r="K2340" s="110"/>
      <c r="L2340" s="111"/>
    </row>
    <row r="2341" spans="3:13" ht="15" customHeight="1" x14ac:dyDescent="0.2">
      <c r="C2341" s="113"/>
      <c r="D2341" s="113"/>
      <c r="E2341" s="114"/>
      <c r="K2341" s="110"/>
      <c r="L2341" s="111"/>
    </row>
    <row r="2342" spans="3:13" ht="15" customHeight="1" x14ac:dyDescent="0.2">
      <c r="C2342" s="113"/>
      <c r="D2342" s="113"/>
      <c r="E2342" s="114"/>
      <c r="K2342" s="110"/>
      <c r="L2342" s="111"/>
    </row>
    <row r="2343" spans="3:13" ht="15" customHeight="1" x14ac:dyDescent="0.2">
      <c r="C2343" s="113"/>
      <c r="D2343" s="113"/>
      <c r="E2343" s="114"/>
      <c r="K2343" s="110"/>
      <c r="L2343" s="111"/>
    </row>
    <row r="2344" spans="3:13" ht="15" customHeight="1" x14ac:dyDescent="0.2">
      <c r="C2344" s="113"/>
      <c r="D2344" s="113"/>
      <c r="E2344" s="114"/>
      <c r="K2344" s="110"/>
      <c r="L2344" s="111"/>
    </row>
    <row r="2345" spans="3:13" ht="15" customHeight="1" x14ac:dyDescent="0.2">
      <c r="C2345" s="113"/>
      <c r="D2345" s="113"/>
      <c r="E2345" s="114"/>
      <c r="K2345" s="110"/>
      <c r="L2345" s="111"/>
    </row>
    <row r="2346" spans="3:13" ht="15" customHeight="1" x14ac:dyDescent="0.2">
      <c r="C2346" s="113"/>
      <c r="D2346" s="113"/>
      <c r="E2346" s="114"/>
      <c r="K2346" s="110"/>
      <c r="L2346" s="111"/>
    </row>
    <row r="2347" spans="3:13" ht="15" customHeight="1" x14ac:dyDescent="0.2">
      <c r="C2347" s="113"/>
      <c r="D2347" s="113"/>
      <c r="E2347" s="114"/>
      <c r="K2347" s="110"/>
      <c r="L2347" s="111"/>
      <c r="M2347" s="116"/>
    </row>
    <row r="2348" spans="3:13" ht="15" customHeight="1" x14ac:dyDescent="0.2">
      <c r="C2348" s="113"/>
      <c r="D2348" s="113"/>
      <c r="E2348" s="114"/>
      <c r="K2348" s="110"/>
      <c r="L2348" s="111"/>
    </row>
    <row r="2349" spans="3:13" ht="15" customHeight="1" x14ac:dyDescent="0.2">
      <c r="C2349" s="113"/>
      <c r="D2349" s="113"/>
      <c r="E2349" s="114"/>
      <c r="K2349" s="110"/>
      <c r="L2349" s="111"/>
    </row>
    <row r="2350" spans="3:13" ht="15" customHeight="1" x14ac:dyDescent="0.2">
      <c r="C2350" s="113"/>
      <c r="D2350" s="113"/>
      <c r="E2350" s="114"/>
      <c r="K2350" s="110"/>
      <c r="L2350" s="111"/>
    </row>
    <row r="2351" spans="3:13" ht="15" customHeight="1" x14ac:dyDescent="0.2">
      <c r="C2351" s="113"/>
      <c r="D2351" s="113"/>
      <c r="E2351" s="114"/>
      <c r="K2351" s="110"/>
      <c r="L2351" s="111"/>
    </row>
    <row r="2352" spans="3:13" ht="15" customHeight="1" x14ac:dyDescent="0.2">
      <c r="C2352" s="113"/>
      <c r="D2352" s="113"/>
      <c r="E2352" s="114"/>
      <c r="K2352" s="110"/>
      <c r="L2352" s="111"/>
    </row>
    <row r="2353" spans="3:12" ht="15" customHeight="1" x14ac:dyDescent="0.2">
      <c r="C2353" s="113"/>
      <c r="D2353" s="113"/>
      <c r="E2353" s="114"/>
      <c r="K2353" s="110"/>
      <c r="L2353" s="111"/>
    </row>
    <row r="2354" spans="3:12" ht="15" customHeight="1" x14ac:dyDescent="0.2">
      <c r="C2354" s="113"/>
      <c r="D2354" s="113"/>
      <c r="E2354" s="114"/>
      <c r="K2354" s="110"/>
      <c r="L2354" s="111"/>
    </row>
    <row r="2355" spans="3:12" ht="15" customHeight="1" x14ac:dyDescent="0.2">
      <c r="C2355" s="113"/>
      <c r="D2355" s="113"/>
      <c r="E2355" s="114"/>
      <c r="K2355" s="110"/>
      <c r="L2355" s="111"/>
    </row>
    <row r="2356" spans="3:12" ht="15" customHeight="1" x14ac:dyDescent="0.2">
      <c r="C2356" s="113"/>
      <c r="D2356" s="113"/>
      <c r="E2356" s="114"/>
      <c r="K2356" s="110"/>
      <c r="L2356" s="111"/>
    </row>
    <row r="2357" spans="3:12" ht="15" customHeight="1" x14ac:dyDescent="0.2">
      <c r="C2357" s="113"/>
      <c r="D2357" s="113"/>
      <c r="E2357" s="114"/>
      <c r="K2357" s="110"/>
      <c r="L2357" s="111"/>
    </row>
    <row r="2358" spans="3:12" ht="15" customHeight="1" x14ac:dyDescent="0.2">
      <c r="C2358" s="113"/>
      <c r="D2358" s="113"/>
      <c r="E2358" s="114"/>
      <c r="K2358" s="110"/>
      <c r="L2358" s="111"/>
    </row>
    <row r="2359" spans="3:12" ht="15" customHeight="1" x14ac:dyDescent="0.2">
      <c r="C2359" s="113"/>
      <c r="D2359" s="113"/>
      <c r="E2359" s="114"/>
      <c r="K2359" s="110"/>
      <c r="L2359" s="111"/>
    </row>
    <row r="2360" spans="3:12" ht="15" customHeight="1" x14ac:dyDescent="0.2">
      <c r="C2360" s="113"/>
      <c r="D2360" s="113"/>
      <c r="E2360" s="114"/>
      <c r="K2360" s="110"/>
      <c r="L2360" s="111"/>
    </row>
    <row r="2361" spans="3:12" ht="15" customHeight="1" x14ac:dyDescent="0.2">
      <c r="C2361" s="113"/>
      <c r="D2361" s="113"/>
      <c r="E2361" s="114"/>
      <c r="K2361" s="110"/>
      <c r="L2361" s="111"/>
    </row>
    <row r="2362" spans="3:12" ht="15" customHeight="1" x14ac:dyDescent="0.2">
      <c r="C2362" s="113"/>
      <c r="D2362" s="113"/>
      <c r="E2362" s="114"/>
      <c r="K2362" s="110"/>
      <c r="L2362" s="111"/>
    </row>
  </sheetData>
  <autoFilter ref="A1:P2063" xr:uid="{00000000-0009-0000-0000-000006000000}"/>
  <sortState xmlns:xlrd2="http://schemas.microsoft.com/office/spreadsheetml/2017/richdata2" ref="C436:Q462">
    <sortCondition ref="C436:C462"/>
  </sortState>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Kostensoorts!$A:$A</xm:f>
          </x14:formula1>
          <xm:sqref>A1 A1608 A1620 A1622 A1640 A1655 A1657:A1697 A1699:A2289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7D2D8"/>
  </sheetPr>
  <dimension ref="A1:AF1000"/>
  <sheetViews>
    <sheetView workbookViewId="0">
      <pane ySplit="1" topLeftCell="A2" activePane="bottomLeft" state="frozen"/>
      <selection pane="bottomLeft" activeCell="B3" sqref="B3"/>
    </sheetView>
  </sheetViews>
  <sheetFormatPr baseColWidth="10" defaultColWidth="14.5" defaultRowHeight="15" customHeight="1" x14ac:dyDescent="0.2"/>
  <cols>
    <col min="1" max="1" width="32.5" customWidth="1"/>
    <col min="2" max="2" width="14" customWidth="1"/>
    <col min="3" max="4" width="12.83203125" customWidth="1"/>
    <col min="5" max="5" width="23.1640625" customWidth="1"/>
    <col min="6" max="6" width="19.1640625" customWidth="1"/>
    <col min="7" max="7" width="28.6640625" customWidth="1"/>
    <col min="8" max="8" width="10.5" customWidth="1"/>
    <col min="9" max="9" width="16.1640625" customWidth="1"/>
    <col min="10" max="10" width="247.5" hidden="1" customWidth="1"/>
    <col min="11" max="11" width="45.83203125" customWidth="1"/>
    <col min="12" max="12" width="68.33203125" customWidth="1"/>
    <col min="13" max="32" width="10.83203125" customWidth="1"/>
  </cols>
  <sheetData>
    <row r="1" spans="1:12" ht="14.25" customHeight="1" x14ac:dyDescent="0.2">
      <c r="A1" s="75" t="s">
        <v>330</v>
      </c>
      <c r="B1" s="76" t="s">
        <v>331</v>
      </c>
      <c r="C1" s="80" t="s">
        <v>337</v>
      </c>
      <c r="D1" s="77" t="s">
        <v>332</v>
      </c>
      <c r="E1" s="78" t="s">
        <v>333</v>
      </c>
      <c r="F1" s="76" t="s">
        <v>338</v>
      </c>
      <c r="G1" s="80" t="s">
        <v>339</v>
      </c>
      <c r="H1" s="77" t="s">
        <v>341</v>
      </c>
      <c r="I1" s="76" t="s">
        <v>342</v>
      </c>
      <c r="J1" s="79" t="s">
        <v>334</v>
      </c>
      <c r="K1" s="80" t="s">
        <v>343</v>
      </c>
      <c r="L1" s="81" t="s">
        <v>336</v>
      </c>
    </row>
    <row r="2" spans="1:12" ht="14.25" customHeight="1" x14ac:dyDescent="0.2">
      <c r="A2" s="82"/>
      <c r="D2" s="87"/>
      <c r="J2" s="85" t="s">
        <v>349</v>
      </c>
      <c r="K2" s="85"/>
      <c r="L2" s="85"/>
    </row>
    <row r="3" spans="1:12" ht="14.25" customHeight="1" x14ac:dyDescent="0.2">
      <c r="A3" s="82" t="s">
        <v>301</v>
      </c>
      <c r="B3" s="95">
        <v>3000</v>
      </c>
      <c r="C3" s="84">
        <v>264418.45</v>
      </c>
      <c r="D3" s="84">
        <v>20241120</v>
      </c>
      <c r="E3" s="85" t="s">
        <v>345</v>
      </c>
      <c r="F3" s="85" t="s">
        <v>346</v>
      </c>
      <c r="G3" s="85"/>
      <c r="H3" s="85" t="s">
        <v>347</v>
      </c>
      <c r="I3" s="85" t="s">
        <v>348</v>
      </c>
      <c r="J3" s="85"/>
      <c r="K3" s="86"/>
    </row>
    <row r="4" spans="1:12" ht="14.25" customHeight="1" x14ac:dyDescent="0.2">
      <c r="A4" s="82"/>
      <c r="B4" s="118"/>
      <c r="C4" s="119"/>
      <c r="D4" s="98"/>
      <c r="E4" s="85"/>
      <c r="F4" s="85"/>
      <c r="G4" s="85"/>
      <c r="H4" s="85"/>
      <c r="I4" s="85"/>
      <c r="J4" s="85"/>
    </row>
    <row r="5" spans="1:12" ht="14.25" customHeight="1" x14ac:dyDescent="0.2">
      <c r="A5" s="82"/>
      <c r="B5" s="118"/>
      <c r="C5" s="119"/>
      <c r="D5" s="98"/>
      <c r="E5" s="85"/>
      <c r="F5" s="85"/>
      <c r="G5" s="85"/>
      <c r="H5" s="85"/>
      <c r="I5" s="85"/>
      <c r="J5" s="85"/>
      <c r="K5" s="86"/>
    </row>
    <row r="6" spans="1:12" ht="14.25" customHeight="1" x14ac:dyDescent="0.2">
      <c r="A6" s="82"/>
      <c r="B6" s="118"/>
      <c r="C6" s="119"/>
      <c r="D6" s="98"/>
      <c r="E6" s="85"/>
      <c r="F6" s="85"/>
      <c r="G6" s="85"/>
      <c r="H6" s="85"/>
      <c r="I6" s="85"/>
      <c r="J6" s="85"/>
      <c r="K6" s="86"/>
    </row>
    <row r="7" spans="1:12" ht="14.25" customHeight="1" x14ac:dyDescent="0.2">
      <c r="A7" s="82"/>
      <c r="B7" s="118"/>
      <c r="C7" s="119"/>
      <c r="D7" s="98"/>
      <c r="E7" s="85"/>
      <c r="F7" s="85"/>
      <c r="G7" s="85"/>
      <c r="H7" s="85"/>
      <c r="I7" s="85"/>
      <c r="J7" s="85"/>
    </row>
    <row r="8" spans="1:12" ht="14.25" customHeight="1" x14ac:dyDescent="0.2">
      <c r="A8" s="82"/>
      <c r="B8" s="118"/>
      <c r="C8" s="119"/>
      <c r="D8" s="98"/>
      <c r="E8" s="85"/>
      <c r="F8" s="85"/>
      <c r="G8" s="85"/>
      <c r="H8" s="85"/>
      <c r="I8" s="85"/>
      <c r="J8" s="85"/>
    </row>
    <row r="9" spans="1:12" ht="14.25" customHeight="1" x14ac:dyDescent="0.2">
      <c r="A9" s="10"/>
      <c r="B9" s="118"/>
      <c r="C9" s="119"/>
      <c r="D9" s="98"/>
      <c r="E9" s="85"/>
      <c r="F9" s="85"/>
      <c r="G9" s="85"/>
      <c r="H9" s="85"/>
      <c r="I9" s="85"/>
      <c r="J9" s="85"/>
      <c r="K9" s="86"/>
    </row>
    <row r="10" spans="1:12" ht="14.25" customHeight="1" x14ac:dyDescent="0.2">
      <c r="A10" s="82"/>
      <c r="B10" s="118"/>
      <c r="C10" s="119"/>
      <c r="D10" s="98"/>
      <c r="E10" s="85"/>
      <c r="F10" s="85"/>
      <c r="G10" s="85"/>
      <c r="H10" s="85"/>
      <c r="I10" s="85"/>
      <c r="J10" s="85"/>
      <c r="K10" s="86"/>
    </row>
    <row r="11" spans="1:12" ht="14.25" customHeight="1" x14ac:dyDescent="0.2">
      <c r="A11" s="82"/>
      <c r="B11" s="83"/>
      <c r="C11" s="96"/>
      <c r="D11" s="84"/>
      <c r="E11" s="85"/>
      <c r="F11" s="85"/>
      <c r="G11" s="85"/>
      <c r="H11" s="85"/>
      <c r="I11" s="85"/>
      <c r="J11" s="85"/>
    </row>
    <row r="12" spans="1:12" ht="14.25" customHeight="1" x14ac:dyDescent="0.2">
      <c r="A12" s="82"/>
      <c r="B12" s="83"/>
      <c r="D12" s="84"/>
      <c r="J12" s="85" t="s">
        <v>371</v>
      </c>
      <c r="K12" s="86"/>
    </row>
    <row r="13" spans="1:12" ht="14.25" customHeight="1" x14ac:dyDescent="0.2">
      <c r="A13" s="82"/>
      <c r="B13" s="83"/>
      <c r="C13" s="96"/>
      <c r="D13" s="84"/>
      <c r="E13" s="85"/>
      <c r="F13" s="85"/>
      <c r="G13" s="85"/>
      <c r="H13" s="85"/>
      <c r="I13" s="85"/>
      <c r="J13" s="85"/>
      <c r="K13" s="86"/>
    </row>
    <row r="14" spans="1:12" ht="14.25" customHeight="1" x14ac:dyDescent="0.2">
      <c r="A14" s="82"/>
      <c r="B14" s="83"/>
      <c r="C14" s="96"/>
      <c r="D14" s="84"/>
      <c r="E14" s="85"/>
      <c r="F14" s="85"/>
      <c r="G14" s="85"/>
      <c r="H14" s="85"/>
      <c r="I14" s="85"/>
      <c r="J14" s="85"/>
      <c r="K14" s="86"/>
    </row>
    <row r="15" spans="1:12" ht="14.25" customHeight="1" x14ac:dyDescent="0.2">
      <c r="A15" s="82"/>
      <c r="B15" s="83"/>
      <c r="C15" s="96"/>
      <c r="D15" s="84"/>
      <c r="E15" s="85"/>
      <c r="F15" s="85"/>
      <c r="G15" s="85"/>
      <c r="H15" s="85"/>
      <c r="I15" s="85"/>
      <c r="J15" s="85"/>
    </row>
    <row r="16" spans="1:12" ht="14.25" customHeight="1" x14ac:dyDescent="0.2">
      <c r="A16" s="82"/>
      <c r="B16" s="83"/>
      <c r="C16" s="96"/>
      <c r="D16" s="84"/>
      <c r="E16" s="85"/>
      <c r="F16" s="85"/>
      <c r="G16" s="85"/>
      <c r="H16" s="85"/>
      <c r="I16" s="85"/>
      <c r="J16" s="85"/>
    </row>
    <row r="17" spans="1:11" ht="14.25" customHeight="1" x14ac:dyDescent="0.2">
      <c r="A17" s="82"/>
      <c r="B17" s="83"/>
      <c r="C17" s="96"/>
      <c r="D17" s="84"/>
      <c r="E17" s="85"/>
      <c r="F17" s="85"/>
      <c r="G17" s="85"/>
      <c r="H17" s="85"/>
      <c r="I17" s="85"/>
      <c r="J17" s="85"/>
      <c r="K17" s="86"/>
    </row>
    <row r="18" spans="1:11" ht="14.25" customHeight="1" x14ac:dyDescent="0.2">
      <c r="A18" s="82"/>
      <c r="B18" s="83"/>
      <c r="C18" s="96"/>
      <c r="D18" s="84"/>
      <c r="E18" s="85"/>
      <c r="F18" s="85"/>
      <c r="G18" s="85"/>
      <c r="H18" s="85"/>
      <c r="I18" s="85"/>
      <c r="J18" s="85"/>
    </row>
    <row r="19" spans="1:11" ht="14.25" customHeight="1" x14ac:dyDescent="0.2">
      <c r="A19" s="82"/>
      <c r="B19" s="83"/>
      <c r="C19" s="96"/>
      <c r="D19" s="84"/>
      <c r="E19" s="85"/>
      <c r="F19" s="85"/>
      <c r="G19" s="85"/>
      <c r="H19" s="85"/>
      <c r="I19" s="85"/>
      <c r="J19" s="85"/>
    </row>
    <row r="20" spans="1:11" ht="14.25" customHeight="1" x14ac:dyDescent="0.2">
      <c r="A20" s="82"/>
      <c r="B20" s="83"/>
      <c r="C20" s="96"/>
      <c r="D20" s="84"/>
      <c r="E20" s="85"/>
      <c r="F20" s="85"/>
      <c r="G20" s="85"/>
      <c r="H20" s="85"/>
      <c r="I20" s="85"/>
      <c r="J20" s="85"/>
      <c r="K20" s="86"/>
    </row>
    <row r="21" spans="1:11" ht="14.25" customHeight="1" x14ac:dyDescent="0.2">
      <c r="A21" s="82"/>
      <c r="B21" s="83"/>
      <c r="C21" s="96"/>
      <c r="D21" s="84"/>
      <c r="E21" s="85"/>
      <c r="F21" s="85"/>
      <c r="G21" s="85"/>
      <c r="H21" s="85"/>
      <c r="I21" s="85"/>
      <c r="J21" s="85"/>
    </row>
    <row r="22" spans="1:11" ht="14.25" customHeight="1" x14ac:dyDescent="0.2">
      <c r="A22" s="82"/>
      <c r="B22" s="83"/>
      <c r="C22" s="96"/>
      <c r="D22" s="84"/>
      <c r="E22" s="85"/>
      <c r="F22" s="85"/>
      <c r="G22" s="85"/>
      <c r="H22" s="85"/>
      <c r="I22" s="85"/>
      <c r="J22" s="85"/>
    </row>
    <row r="23" spans="1:11" ht="14.25" customHeight="1" x14ac:dyDescent="0.2">
      <c r="A23" s="82"/>
      <c r="B23" s="83"/>
      <c r="C23" s="96"/>
      <c r="D23" s="84"/>
      <c r="E23" s="85"/>
      <c r="F23" s="85"/>
      <c r="G23" s="85"/>
      <c r="H23" s="85"/>
      <c r="I23" s="85"/>
      <c r="J23" s="85"/>
    </row>
    <row r="24" spans="1:11" ht="14.25" customHeight="1" x14ac:dyDescent="0.2">
      <c r="A24" s="82"/>
      <c r="B24" s="83"/>
      <c r="C24" s="96"/>
      <c r="D24" s="84"/>
      <c r="E24" s="85"/>
      <c r="F24" s="85"/>
      <c r="G24" s="85"/>
      <c r="H24" s="85"/>
      <c r="I24" s="85"/>
      <c r="J24" s="85"/>
      <c r="K24" s="86"/>
    </row>
    <row r="25" spans="1:11" ht="14.25" customHeight="1" x14ac:dyDescent="0.2">
      <c r="A25" s="82"/>
      <c r="B25" s="83"/>
      <c r="C25" s="96"/>
      <c r="D25" s="84"/>
      <c r="E25" s="85"/>
      <c r="F25" s="85"/>
      <c r="G25" s="85"/>
      <c r="H25" s="85"/>
      <c r="I25" s="85"/>
      <c r="J25" s="85"/>
    </row>
    <row r="26" spans="1:11" ht="14.25" customHeight="1" x14ac:dyDescent="0.2">
      <c r="A26" s="82"/>
      <c r="B26" s="83"/>
      <c r="C26" s="96"/>
      <c r="D26" s="84"/>
      <c r="E26" s="85"/>
      <c r="F26" s="85"/>
      <c r="G26" s="85"/>
      <c r="H26" s="85"/>
      <c r="I26" s="85"/>
      <c r="J26" s="85"/>
    </row>
    <row r="27" spans="1:11" ht="14.25" customHeight="1" x14ac:dyDescent="0.2">
      <c r="A27" s="82"/>
      <c r="B27" s="83"/>
      <c r="C27" s="96"/>
      <c r="D27" s="84"/>
      <c r="E27" s="85"/>
      <c r="F27" s="85"/>
      <c r="G27" s="85"/>
      <c r="H27" s="85"/>
      <c r="I27" s="85"/>
      <c r="J27" s="85"/>
    </row>
    <row r="28" spans="1:11" ht="14.25" customHeight="1" x14ac:dyDescent="0.2">
      <c r="A28" s="82"/>
      <c r="B28" s="83"/>
      <c r="C28" s="96"/>
      <c r="D28" s="84"/>
      <c r="E28" s="85"/>
      <c r="F28" s="85"/>
      <c r="G28" s="85"/>
      <c r="H28" s="85"/>
      <c r="I28" s="85"/>
      <c r="J28" s="85"/>
    </row>
    <row r="29" spans="1:11" ht="14.25" customHeight="1" x14ac:dyDescent="0.2">
      <c r="A29" s="82"/>
      <c r="B29" s="83"/>
      <c r="C29" s="96"/>
      <c r="D29" s="84"/>
      <c r="E29" s="85"/>
      <c r="F29" s="85"/>
      <c r="G29" s="85"/>
      <c r="H29" s="85"/>
      <c r="I29" s="85"/>
      <c r="J29" s="85"/>
    </row>
    <row r="30" spans="1:11" ht="14.25" customHeight="1" x14ac:dyDescent="0.2">
      <c r="A30" s="82"/>
      <c r="B30" s="83"/>
      <c r="C30" s="96"/>
      <c r="D30" s="84"/>
      <c r="E30" s="85"/>
      <c r="F30" s="85"/>
      <c r="G30" s="120"/>
      <c r="H30" s="85"/>
      <c r="I30" s="85"/>
      <c r="J30" s="85"/>
    </row>
    <row r="31" spans="1:11" ht="14.25" customHeight="1" x14ac:dyDescent="0.2">
      <c r="A31" s="82"/>
      <c r="B31" s="83"/>
      <c r="C31" s="96"/>
      <c r="D31" s="84"/>
      <c r="E31" s="85"/>
      <c r="F31" s="85"/>
      <c r="G31" s="85"/>
      <c r="H31" s="85"/>
      <c r="I31" s="85"/>
      <c r="J31" s="85"/>
    </row>
    <row r="32" spans="1:11" ht="14.25" customHeight="1" x14ac:dyDescent="0.2">
      <c r="A32" s="82"/>
      <c r="B32" s="83"/>
      <c r="C32" s="96"/>
      <c r="D32" s="84"/>
      <c r="E32" s="85"/>
      <c r="F32" s="85"/>
      <c r="G32" s="85"/>
      <c r="H32" s="85"/>
      <c r="I32" s="85"/>
      <c r="J32" s="85"/>
    </row>
    <row r="33" spans="1:11" ht="14.25" customHeight="1" x14ac:dyDescent="0.2">
      <c r="A33" s="82"/>
      <c r="B33" s="83"/>
      <c r="C33" s="96"/>
      <c r="D33" s="84"/>
      <c r="E33" s="85"/>
      <c r="F33" s="85"/>
      <c r="G33" s="85"/>
      <c r="H33" s="85"/>
      <c r="I33" s="85"/>
      <c r="J33" s="85"/>
    </row>
    <row r="34" spans="1:11" ht="14.25" customHeight="1" x14ac:dyDescent="0.2">
      <c r="A34" s="82"/>
      <c r="B34" s="83"/>
      <c r="C34" s="96"/>
      <c r="D34" s="84"/>
      <c r="E34" s="85"/>
      <c r="F34" s="85"/>
      <c r="G34" s="85"/>
      <c r="H34" s="85"/>
      <c r="I34" s="85"/>
      <c r="J34" s="85"/>
    </row>
    <row r="35" spans="1:11" ht="14.25" customHeight="1" x14ac:dyDescent="0.2">
      <c r="A35" s="82"/>
      <c r="B35" s="83"/>
      <c r="C35" s="96"/>
      <c r="D35" s="84"/>
      <c r="E35" s="85"/>
      <c r="F35" s="85"/>
      <c r="G35" s="85"/>
      <c r="H35" s="85"/>
      <c r="I35" s="85"/>
      <c r="J35" s="85"/>
    </row>
    <row r="36" spans="1:11" ht="14.25" customHeight="1" x14ac:dyDescent="0.2">
      <c r="A36" s="82"/>
      <c r="B36" s="83"/>
      <c r="C36" s="96"/>
      <c r="D36" s="84"/>
      <c r="E36" s="85"/>
      <c r="F36" s="85"/>
      <c r="G36" s="85"/>
      <c r="H36" s="85"/>
      <c r="I36" s="85"/>
      <c r="J36" s="85"/>
      <c r="K36" s="86"/>
    </row>
    <row r="37" spans="1:11" ht="14.25" customHeight="1" x14ac:dyDescent="0.2">
      <c r="A37" s="82"/>
      <c r="B37" s="83"/>
      <c r="C37" s="96"/>
      <c r="D37" s="84"/>
      <c r="E37" s="85"/>
      <c r="F37" s="85"/>
      <c r="G37" s="85"/>
      <c r="H37" s="85"/>
      <c r="I37" s="85"/>
      <c r="J37" s="85"/>
      <c r="K37" s="86"/>
    </row>
    <row r="38" spans="1:11" ht="14.25" customHeight="1" x14ac:dyDescent="0.2">
      <c r="A38" s="82"/>
      <c r="B38" s="83"/>
      <c r="C38" s="96"/>
      <c r="D38" s="84"/>
      <c r="E38" s="85"/>
      <c r="F38" s="85"/>
      <c r="G38" s="85"/>
      <c r="H38" s="85"/>
      <c r="I38" s="85"/>
      <c r="J38" s="85"/>
    </row>
    <row r="39" spans="1:11" ht="14.25" customHeight="1" x14ac:dyDescent="0.2">
      <c r="A39" s="82"/>
      <c r="B39" s="83"/>
      <c r="C39" s="96"/>
      <c r="D39" s="84"/>
      <c r="E39" s="85"/>
      <c r="F39" s="85"/>
      <c r="G39" s="85"/>
      <c r="H39" s="85"/>
      <c r="I39" s="85"/>
      <c r="J39" s="85"/>
      <c r="K39" s="86"/>
    </row>
    <row r="40" spans="1:11" ht="14.25" customHeight="1" x14ac:dyDescent="0.2">
      <c r="A40" s="82"/>
      <c r="B40" s="83"/>
      <c r="C40" s="96"/>
      <c r="D40" s="84"/>
      <c r="E40" s="85"/>
      <c r="F40" s="85"/>
      <c r="G40" s="85"/>
      <c r="H40" s="85"/>
      <c r="I40" s="85"/>
      <c r="J40" s="85"/>
    </row>
    <row r="41" spans="1:11" ht="14.25" customHeight="1" x14ac:dyDescent="0.2">
      <c r="A41" s="82"/>
      <c r="B41" s="83"/>
      <c r="C41" s="96"/>
      <c r="D41" s="84"/>
      <c r="E41" s="85"/>
      <c r="F41" s="85"/>
      <c r="G41" s="85"/>
      <c r="H41" s="85"/>
      <c r="I41" s="85"/>
      <c r="J41" s="85"/>
      <c r="K41" s="86"/>
    </row>
    <row r="42" spans="1:11" ht="14.25" customHeight="1" x14ac:dyDescent="0.2">
      <c r="A42" s="82"/>
      <c r="B42" s="83"/>
      <c r="C42" s="96"/>
      <c r="D42" s="84"/>
      <c r="E42" s="85"/>
      <c r="F42" s="85"/>
      <c r="G42" s="85"/>
      <c r="H42" s="85"/>
      <c r="I42" s="85"/>
      <c r="J42" s="85"/>
      <c r="K42" s="86"/>
    </row>
    <row r="43" spans="1:11" ht="14.25" customHeight="1" x14ac:dyDescent="0.2">
      <c r="A43" s="82"/>
      <c r="B43" s="83"/>
      <c r="C43" s="96"/>
      <c r="D43" s="84"/>
      <c r="E43" s="85"/>
      <c r="F43" s="85"/>
      <c r="G43" s="85"/>
      <c r="H43" s="85"/>
      <c r="I43" s="85"/>
      <c r="J43" s="85"/>
      <c r="K43" s="86"/>
    </row>
    <row r="44" spans="1:11" ht="14.25" customHeight="1" x14ac:dyDescent="0.2">
      <c r="A44" s="82"/>
      <c r="B44" s="83"/>
      <c r="C44" s="96"/>
      <c r="D44" s="84"/>
      <c r="E44" s="85"/>
      <c r="F44" s="85"/>
      <c r="G44" s="85"/>
      <c r="H44" s="85"/>
      <c r="I44" s="85"/>
      <c r="J44" s="85"/>
      <c r="K44" s="86"/>
    </row>
    <row r="45" spans="1:11" ht="14.25" customHeight="1" x14ac:dyDescent="0.2">
      <c r="A45" s="82"/>
      <c r="B45" s="83"/>
      <c r="C45" s="96"/>
      <c r="D45" s="84"/>
      <c r="E45" s="85"/>
      <c r="F45" s="85"/>
      <c r="G45" s="85"/>
      <c r="H45" s="85"/>
      <c r="I45" s="85"/>
      <c r="J45" s="85"/>
    </row>
    <row r="46" spans="1:11" ht="14.25" customHeight="1" x14ac:dyDescent="0.2">
      <c r="A46" s="82"/>
      <c r="B46" s="83"/>
      <c r="C46" s="96"/>
      <c r="D46" s="84"/>
      <c r="E46" s="85"/>
      <c r="F46" s="85"/>
      <c r="G46" s="85"/>
      <c r="H46" s="85"/>
      <c r="I46" s="85"/>
      <c r="J46" s="85"/>
    </row>
    <row r="47" spans="1:11" ht="14.25" customHeight="1" x14ac:dyDescent="0.2">
      <c r="A47" s="82"/>
      <c r="B47" s="83"/>
      <c r="C47" s="96"/>
      <c r="D47" s="84"/>
      <c r="E47" s="85"/>
      <c r="F47" s="85"/>
      <c r="G47" s="85"/>
      <c r="H47" s="85"/>
      <c r="I47" s="85"/>
      <c r="J47" s="85"/>
    </row>
    <row r="48" spans="1:11" ht="14.25" customHeight="1" x14ac:dyDescent="0.2">
      <c r="A48" s="82"/>
      <c r="B48" s="83"/>
      <c r="C48" s="96"/>
      <c r="D48" s="84"/>
      <c r="E48" s="85"/>
      <c r="F48" s="85"/>
      <c r="G48" s="85"/>
      <c r="H48" s="85"/>
      <c r="I48" s="85"/>
      <c r="J48" s="85"/>
      <c r="K48" s="86"/>
    </row>
    <row r="49" spans="1:11" ht="14.25" customHeight="1" x14ac:dyDescent="0.2">
      <c r="A49" s="82"/>
      <c r="B49" s="83"/>
      <c r="C49" s="96"/>
      <c r="D49" s="84"/>
      <c r="E49" s="85"/>
      <c r="F49" s="85"/>
      <c r="G49" s="85"/>
      <c r="H49" s="85"/>
      <c r="I49" s="85"/>
      <c r="J49" s="85"/>
      <c r="K49" s="86"/>
    </row>
    <row r="50" spans="1:11" ht="14.25" customHeight="1" x14ac:dyDescent="0.2">
      <c r="A50" s="82"/>
      <c r="B50" s="83"/>
      <c r="C50" s="96"/>
      <c r="D50" s="84"/>
      <c r="E50" s="85"/>
      <c r="F50" s="85"/>
      <c r="G50" s="85"/>
      <c r="H50" s="85"/>
      <c r="I50" s="85"/>
      <c r="J50" s="85"/>
    </row>
    <row r="51" spans="1:11" ht="14.25" customHeight="1" x14ac:dyDescent="0.2">
      <c r="A51" s="82"/>
      <c r="B51" s="83"/>
      <c r="C51" s="96"/>
      <c r="D51" s="84"/>
      <c r="E51" s="85"/>
      <c r="F51" s="85"/>
      <c r="G51" s="85"/>
      <c r="H51" s="85"/>
      <c r="I51" s="85"/>
      <c r="J51" s="85"/>
    </row>
    <row r="52" spans="1:11" ht="14.25" customHeight="1" x14ac:dyDescent="0.2">
      <c r="A52" s="82"/>
      <c r="B52" s="83"/>
      <c r="C52" s="96"/>
      <c r="D52" s="84"/>
      <c r="E52" s="85"/>
      <c r="F52" s="85"/>
      <c r="G52" s="85"/>
      <c r="H52" s="85"/>
      <c r="I52" s="85"/>
      <c r="J52" s="85"/>
    </row>
    <row r="53" spans="1:11" ht="14.25" customHeight="1" x14ac:dyDescent="0.2">
      <c r="A53" s="82"/>
      <c r="B53" s="83"/>
      <c r="C53" s="96"/>
      <c r="D53" s="84"/>
      <c r="E53" s="85"/>
      <c r="F53" s="85"/>
      <c r="G53" s="85"/>
      <c r="H53" s="85"/>
      <c r="I53" s="85"/>
      <c r="J53" s="85"/>
    </row>
    <row r="54" spans="1:11" ht="14.25" customHeight="1" x14ac:dyDescent="0.2">
      <c r="A54" s="82"/>
      <c r="B54" s="83"/>
      <c r="C54" s="96"/>
      <c r="D54" s="84"/>
      <c r="E54" s="85"/>
      <c r="F54" s="85"/>
      <c r="G54" s="85"/>
      <c r="H54" s="85"/>
      <c r="I54" s="85"/>
      <c r="J54" s="85"/>
    </row>
    <row r="55" spans="1:11" ht="14.25" customHeight="1" x14ac:dyDescent="0.2">
      <c r="A55" s="82"/>
      <c r="B55" s="83"/>
      <c r="C55" s="96"/>
      <c r="D55" s="84"/>
      <c r="E55" s="85"/>
      <c r="F55" s="85"/>
      <c r="G55" s="85"/>
      <c r="H55" s="85"/>
      <c r="I55" s="85"/>
      <c r="J55" s="85"/>
    </row>
    <row r="56" spans="1:11" ht="14.25" customHeight="1" x14ac:dyDescent="0.2">
      <c r="A56" s="82"/>
      <c r="B56" s="83"/>
      <c r="C56" s="96"/>
      <c r="D56" s="84"/>
      <c r="E56" s="85"/>
      <c r="F56" s="85"/>
      <c r="G56" s="85"/>
      <c r="H56" s="85"/>
      <c r="I56" s="85"/>
      <c r="J56" s="85"/>
    </row>
    <row r="57" spans="1:11" ht="14.25" customHeight="1" x14ac:dyDescent="0.2">
      <c r="A57" s="82"/>
      <c r="B57" s="83"/>
      <c r="C57" s="96"/>
      <c r="D57" s="84"/>
      <c r="E57" s="85"/>
      <c r="F57" s="85"/>
      <c r="G57" s="85"/>
      <c r="H57" s="85"/>
      <c r="I57" s="85"/>
      <c r="J57" s="85"/>
      <c r="K57" s="86"/>
    </row>
    <row r="58" spans="1:11" ht="14.25" customHeight="1" x14ac:dyDescent="0.2">
      <c r="A58" s="82"/>
      <c r="B58" s="83"/>
      <c r="C58" s="96"/>
      <c r="D58" s="84"/>
      <c r="E58" s="85"/>
      <c r="F58" s="85"/>
      <c r="G58" s="85"/>
      <c r="H58" s="85"/>
      <c r="I58" s="85"/>
      <c r="J58" s="85"/>
      <c r="K58" s="86"/>
    </row>
    <row r="59" spans="1:11" ht="14.25" customHeight="1" x14ac:dyDescent="0.2">
      <c r="A59" s="82"/>
      <c r="B59" s="83"/>
      <c r="C59" s="96"/>
      <c r="D59" s="84"/>
      <c r="E59" s="85"/>
      <c r="F59" s="85"/>
      <c r="G59" s="85"/>
      <c r="H59" s="85"/>
      <c r="I59" s="85"/>
      <c r="J59" s="85"/>
    </row>
    <row r="60" spans="1:11" ht="14.25" customHeight="1" x14ac:dyDescent="0.2">
      <c r="A60" s="82"/>
      <c r="B60" s="83"/>
      <c r="C60" s="96"/>
      <c r="D60" s="84"/>
      <c r="E60" s="85"/>
      <c r="F60" s="85"/>
      <c r="G60" s="85"/>
      <c r="H60" s="85"/>
      <c r="I60" s="85"/>
      <c r="J60" s="85"/>
    </row>
    <row r="61" spans="1:11" ht="14.25" customHeight="1" x14ac:dyDescent="0.2">
      <c r="A61" s="82"/>
      <c r="B61" s="83"/>
      <c r="C61" s="96"/>
      <c r="D61" s="84"/>
      <c r="E61" s="85"/>
      <c r="F61" s="85"/>
      <c r="G61" s="85"/>
      <c r="H61" s="85"/>
      <c r="I61" s="85"/>
      <c r="J61" s="85"/>
    </row>
    <row r="62" spans="1:11" ht="14.25" customHeight="1" x14ac:dyDescent="0.2">
      <c r="A62" s="82"/>
      <c r="B62" s="83"/>
      <c r="C62" s="96"/>
      <c r="D62" s="84"/>
      <c r="E62" s="85"/>
      <c r="F62" s="85"/>
      <c r="G62" s="85"/>
      <c r="H62" s="85"/>
      <c r="I62" s="85"/>
      <c r="J62" s="85"/>
      <c r="K62" s="86"/>
    </row>
    <row r="63" spans="1:11" ht="14.25" customHeight="1" x14ac:dyDescent="0.2">
      <c r="A63" s="82"/>
      <c r="B63" s="83"/>
      <c r="C63" s="96"/>
      <c r="D63" s="84"/>
      <c r="E63" s="85"/>
      <c r="F63" s="85"/>
      <c r="G63" s="85"/>
      <c r="H63" s="85"/>
      <c r="I63" s="85"/>
      <c r="J63" s="85"/>
    </row>
    <row r="64" spans="1:11" ht="14.25" customHeight="1" x14ac:dyDescent="0.2">
      <c r="A64" s="82"/>
      <c r="B64" s="83"/>
      <c r="C64" s="96"/>
      <c r="D64" s="84"/>
      <c r="E64" s="85"/>
      <c r="F64" s="85"/>
      <c r="G64" s="85"/>
      <c r="H64" s="85"/>
      <c r="I64" s="85"/>
      <c r="J64" s="85"/>
    </row>
    <row r="65" spans="1:11" ht="14.25" customHeight="1" x14ac:dyDescent="0.2">
      <c r="A65" s="82"/>
      <c r="B65" s="83"/>
      <c r="C65" s="96"/>
      <c r="D65" s="84"/>
      <c r="E65" s="85"/>
      <c r="F65" s="85"/>
      <c r="G65" s="85"/>
      <c r="H65" s="85"/>
      <c r="I65" s="85"/>
      <c r="J65" s="85"/>
    </row>
    <row r="66" spans="1:11" ht="14.25" customHeight="1" x14ac:dyDescent="0.2">
      <c r="A66" s="82"/>
      <c r="B66" s="83"/>
      <c r="C66" s="96"/>
      <c r="D66" s="84"/>
      <c r="E66" s="85"/>
      <c r="F66" s="85"/>
      <c r="G66" s="85"/>
      <c r="H66" s="85"/>
      <c r="I66" s="85"/>
      <c r="J66" s="85"/>
      <c r="K66" s="86"/>
    </row>
    <row r="67" spans="1:11" ht="14.25" customHeight="1" x14ac:dyDescent="0.2">
      <c r="A67" s="82"/>
      <c r="B67" s="83"/>
      <c r="C67" s="96"/>
      <c r="D67" s="84"/>
      <c r="E67" s="85"/>
      <c r="F67" s="85"/>
      <c r="G67" s="85"/>
      <c r="H67" s="85"/>
      <c r="I67" s="85"/>
      <c r="J67" s="85"/>
      <c r="K67" s="86"/>
    </row>
    <row r="68" spans="1:11" ht="14.25" customHeight="1" x14ac:dyDescent="0.2">
      <c r="A68" s="82"/>
      <c r="B68" s="83"/>
      <c r="C68" s="96"/>
      <c r="D68" s="84"/>
      <c r="E68" s="85"/>
      <c r="F68" s="85"/>
      <c r="G68" s="85"/>
      <c r="H68" s="85"/>
      <c r="I68" s="85"/>
      <c r="J68" s="85"/>
      <c r="K68" s="86"/>
    </row>
    <row r="69" spans="1:11" ht="14.25" customHeight="1" x14ac:dyDescent="0.2">
      <c r="A69" s="82"/>
      <c r="B69" s="83"/>
      <c r="C69" s="96"/>
      <c r="D69" s="84"/>
      <c r="E69" s="85"/>
      <c r="F69" s="85"/>
      <c r="G69" s="85"/>
      <c r="H69" s="85"/>
      <c r="I69" s="85"/>
      <c r="J69" s="85"/>
      <c r="K69" s="86"/>
    </row>
    <row r="70" spans="1:11" ht="14.25" customHeight="1" x14ac:dyDescent="0.2">
      <c r="A70" s="82"/>
      <c r="B70" s="83"/>
      <c r="C70" s="96"/>
      <c r="D70" s="84"/>
      <c r="E70" s="85"/>
      <c r="F70" s="85"/>
      <c r="G70" s="85"/>
      <c r="H70" s="85"/>
      <c r="I70" s="85"/>
      <c r="J70" s="85"/>
      <c r="K70" s="86"/>
    </row>
    <row r="71" spans="1:11" ht="14.25" customHeight="1" x14ac:dyDescent="0.2">
      <c r="A71" s="82"/>
      <c r="B71" s="83"/>
      <c r="C71" s="96"/>
      <c r="D71" s="84"/>
      <c r="E71" s="85"/>
      <c r="F71" s="85"/>
      <c r="G71" s="85"/>
      <c r="H71" s="85"/>
      <c r="I71" s="85"/>
      <c r="J71" s="85"/>
      <c r="K71" s="86"/>
    </row>
    <row r="72" spans="1:11" ht="14.25" customHeight="1" x14ac:dyDescent="0.2">
      <c r="A72" s="82"/>
      <c r="B72" s="83"/>
      <c r="C72" s="96"/>
      <c r="D72" s="84"/>
      <c r="E72" s="85"/>
      <c r="F72" s="85"/>
      <c r="G72" s="85"/>
      <c r="H72" s="85"/>
      <c r="I72" s="85"/>
      <c r="J72" s="85"/>
      <c r="K72" s="86"/>
    </row>
    <row r="73" spans="1:11" ht="14.25" customHeight="1" x14ac:dyDescent="0.2">
      <c r="A73" s="82"/>
      <c r="B73" s="83"/>
      <c r="C73" s="96"/>
      <c r="D73" s="84"/>
      <c r="E73" s="85"/>
      <c r="F73" s="85"/>
      <c r="G73" s="85"/>
      <c r="H73" s="85"/>
      <c r="I73" s="85"/>
      <c r="J73" s="85"/>
      <c r="K73" s="86"/>
    </row>
    <row r="74" spans="1:11" ht="14.25" customHeight="1" x14ac:dyDescent="0.2">
      <c r="A74" s="82"/>
      <c r="B74" s="83"/>
      <c r="C74" s="96"/>
      <c r="D74" s="84"/>
      <c r="E74" s="85"/>
      <c r="F74" s="85"/>
      <c r="G74" s="85"/>
      <c r="H74" s="85"/>
      <c r="I74" s="85"/>
      <c r="J74" s="85"/>
      <c r="K74" s="86"/>
    </row>
    <row r="75" spans="1:11" ht="14.25" customHeight="1" x14ac:dyDescent="0.2">
      <c r="A75" s="82"/>
      <c r="B75" s="83"/>
      <c r="C75" s="96"/>
      <c r="D75" s="84"/>
      <c r="E75" s="85"/>
      <c r="F75" s="85"/>
      <c r="G75" s="85"/>
      <c r="H75" s="85"/>
      <c r="I75" s="85"/>
      <c r="J75" s="85"/>
      <c r="K75" s="86"/>
    </row>
    <row r="76" spans="1:11" ht="14.25" customHeight="1" x14ac:dyDescent="0.2">
      <c r="A76" s="82"/>
      <c r="B76" s="83"/>
      <c r="C76" s="96"/>
      <c r="D76" s="84"/>
      <c r="E76" s="85"/>
      <c r="F76" s="85"/>
      <c r="G76" s="85"/>
      <c r="H76" s="85"/>
      <c r="I76" s="85"/>
      <c r="J76" s="85"/>
      <c r="K76" s="86"/>
    </row>
    <row r="77" spans="1:11" ht="14.25" customHeight="1" x14ac:dyDescent="0.2">
      <c r="A77" s="82"/>
      <c r="B77" s="83"/>
      <c r="C77" s="96"/>
      <c r="D77" s="84"/>
      <c r="E77" s="85"/>
      <c r="F77" s="85"/>
      <c r="G77" s="85"/>
      <c r="H77" s="85"/>
      <c r="I77" s="85"/>
      <c r="J77" s="85"/>
    </row>
    <row r="78" spans="1:11" ht="14.25" customHeight="1" x14ac:dyDescent="0.2">
      <c r="A78" s="82"/>
      <c r="B78" s="83"/>
      <c r="C78" s="96"/>
      <c r="D78" s="84"/>
      <c r="E78" s="85"/>
      <c r="F78" s="85"/>
      <c r="G78" s="85"/>
      <c r="H78" s="85"/>
      <c r="I78" s="85"/>
      <c r="J78" s="85"/>
    </row>
    <row r="79" spans="1:11" ht="14.25" customHeight="1" x14ac:dyDescent="0.2">
      <c r="A79" s="82"/>
      <c r="B79" s="83"/>
      <c r="C79" s="96"/>
      <c r="D79" s="84"/>
      <c r="E79" s="85"/>
      <c r="F79" s="85"/>
      <c r="G79" s="85"/>
      <c r="H79" s="85"/>
      <c r="I79" s="85"/>
      <c r="J79" s="85"/>
    </row>
    <row r="80" spans="1:11" ht="14.25" customHeight="1" x14ac:dyDescent="0.2">
      <c r="A80" s="82"/>
      <c r="B80" s="83"/>
      <c r="C80" s="96"/>
      <c r="D80" s="84"/>
      <c r="E80" s="85"/>
      <c r="F80" s="85"/>
      <c r="G80" s="85"/>
      <c r="H80" s="85"/>
      <c r="I80" s="85"/>
      <c r="J80" s="85"/>
    </row>
    <row r="81" spans="1:11" ht="14.25" customHeight="1" x14ac:dyDescent="0.2">
      <c r="A81" s="82"/>
      <c r="B81" s="83"/>
      <c r="C81" s="96"/>
      <c r="D81" s="84"/>
      <c r="E81" s="85"/>
      <c r="F81" s="85"/>
      <c r="G81" s="85"/>
      <c r="H81" s="85"/>
      <c r="I81" s="85"/>
      <c r="J81" s="85"/>
      <c r="K81" s="86"/>
    </row>
    <row r="82" spans="1:11" ht="14.25" customHeight="1" x14ac:dyDescent="0.2">
      <c r="A82" s="82"/>
      <c r="B82" s="83"/>
      <c r="C82" s="96"/>
      <c r="D82" s="84"/>
      <c r="E82" s="85"/>
      <c r="F82" s="85"/>
      <c r="G82" s="85"/>
      <c r="H82" s="85"/>
      <c r="I82" s="85"/>
      <c r="J82" s="85"/>
      <c r="K82" s="86"/>
    </row>
    <row r="83" spans="1:11" ht="14.25" customHeight="1" x14ac:dyDescent="0.2">
      <c r="A83" s="82"/>
      <c r="B83" s="83"/>
      <c r="C83" s="96"/>
      <c r="D83" s="84"/>
      <c r="E83" s="85"/>
      <c r="F83" s="85"/>
      <c r="G83" s="85"/>
      <c r="H83" s="85"/>
      <c r="I83" s="85"/>
      <c r="J83" s="85"/>
      <c r="K83" s="86"/>
    </row>
    <row r="84" spans="1:11" ht="14.25" customHeight="1" x14ac:dyDescent="0.2">
      <c r="A84" s="82"/>
      <c r="B84" s="83"/>
      <c r="C84" s="96"/>
      <c r="D84" s="84"/>
      <c r="E84" s="85"/>
      <c r="F84" s="85"/>
      <c r="G84" s="85"/>
      <c r="H84" s="85"/>
      <c r="I84" s="85"/>
      <c r="J84" s="85"/>
    </row>
    <row r="85" spans="1:11" ht="14.25" customHeight="1" x14ac:dyDescent="0.2">
      <c r="A85" s="82"/>
      <c r="B85" s="83"/>
      <c r="C85" s="96"/>
      <c r="D85" s="84"/>
      <c r="E85" s="85"/>
      <c r="F85" s="85"/>
      <c r="G85" s="85"/>
      <c r="H85" s="85"/>
      <c r="I85" s="85"/>
      <c r="J85" s="85"/>
    </row>
    <row r="86" spans="1:11" ht="14.25" customHeight="1" x14ac:dyDescent="0.2">
      <c r="A86" s="82"/>
      <c r="B86" s="83"/>
      <c r="C86" s="96"/>
      <c r="D86" s="84"/>
      <c r="E86" s="85"/>
      <c r="F86" s="85"/>
      <c r="G86" s="120"/>
      <c r="H86" s="85"/>
      <c r="I86" s="85"/>
      <c r="J86" s="85"/>
    </row>
    <row r="87" spans="1:11" ht="14.25" customHeight="1" x14ac:dyDescent="0.2">
      <c r="A87" s="82"/>
      <c r="B87" s="83"/>
      <c r="C87" s="96"/>
      <c r="D87" s="84"/>
      <c r="E87" s="85"/>
      <c r="F87" s="85"/>
      <c r="G87" s="120"/>
      <c r="H87" s="85"/>
      <c r="I87" s="85"/>
      <c r="J87" s="85"/>
    </row>
    <row r="88" spans="1:11" ht="14.25" customHeight="1" x14ac:dyDescent="0.2">
      <c r="A88" s="82"/>
      <c r="B88" s="83"/>
      <c r="C88" s="96"/>
      <c r="D88" s="84"/>
      <c r="E88" s="85"/>
      <c r="F88" s="85"/>
      <c r="G88" s="85"/>
      <c r="H88" s="85"/>
      <c r="I88" s="85"/>
      <c r="J88" s="85"/>
    </row>
    <row r="89" spans="1:11" ht="14.25" customHeight="1" x14ac:dyDescent="0.2">
      <c r="A89" s="82"/>
      <c r="B89" s="83"/>
      <c r="C89" s="96"/>
      <c r="D89" s="84"/>
      <c r="E89" s="85"/>
      <c r="F89" s="85"/>
      <c r="G89" s="85"/>
      <c r="H89" s="85"/>
      <c r="I89" s="85"/>
      <c r="J89" s="85"/>
    </row>
    <row r="90" spans="1:11" ht="14.25" customHeight="1" x14ac:dyDescent="0.2">
      <c r="A90" s="82"/>
      <c r="B90" s="83"/>
      <c r="C90" s="96"/>
      <c r="D90" s="84"/>
      <c r="E90" s="85"/>
      <c r="F90" s="85"/>
      <c r="G90" s="85"/>
      <c r="H90" s="85"/>
      <c r="I90" s="85"/>
      <c r="J90" s="85"/>
    </row>
    <row r="91" spans="1:11" ht="14.25" customHeight="1" x14ac:dyDescent="0.2">
      <c r="A91" s="82"/>
      <c r="B91" s="83"/>
      <c r="C91" s="96"/>
      <c r="D91" s="84"/>
      <c r="E91" s="85"/>
      <c r="F91" s="85"/>
      <c r="G91" s="85"/>
      <c r="H91" s="85"/>
      <c r="I91" s="85"/>
      <c r="J91" s="85"/>
      <c r="K91" s="86"/>
    </row>
    <row r="92" spans="1:11" ht="14.25" customHeight="1" x14ac:dyDescent="0.2">
      <c r="A92" s="82"/>
      <c r="B92" s="83"/>
      <c r="C92" s="96"/>
      <c r="D92" s="84"/>
      <c r="E92" s="85"/>
      <c r="F92" s="85"/>
      <c r="G92" s="85"/>
      <c r="H92" s="85"/>
      <c r="I92" s="85"/>
      <c r="J92" s="85"/>
      <c r="K92" s="86"/>
    </row>
    <row r="93" spans="1:11" ht="14.25" customHeight="1" x14ac:dyDescent="0.2">
      <c r="A93" s="82"/>
      <c r="B93" s="83"/>
      <c r="C93" s="96"/>
      <c r="D93" s="84"/>
      <c r="E93" s="85"/>
      <c r="F93" s="85"/>
      <c r="G93" s="120"/>
      <c r="H93" s="85"/>
      <c r="I93" s="85"/>
      <c r="J93" s="85"/>
      <c r="K93" s="86"/>
    </row>
    <row r="94" spans="1:11" ht="14.25" customHeight="1" x14ac:dyDescent="0.2">
      <c r="A94" s="82"/>
      <c r="B94" s="83"/>
      <c r="C94" s="96"/>
      <c r="D94" s="84"/>
      <c r="E94" s="85"/>
      <c r="F94" s="85"/>
      <c r="G94" s="85"/>
      <c r="H94" s="85"/>
      <c r="I94" s="85"/>
      <c r="J94" s="85"/>
      <c r="K94" s="86"/>
    </row>
    <row r="95" spans="1:11" ht="14.25" customHeight="1" x14ac:dyDescent="0.2">
      <c r="A95" s="82"/>
      <c r="B95" s="83"/>
      <c r="C95" s="96"/>
      <c r="D95" s="84"/>
      <c r="E95" s="85"/>
      <c r="F95" s="85"/>
      <c r="G95" s="120"/>
      <c r="H95" s="85"/>
      <c r="I95" s="85"/>
      <c r="J95" s="85"/>
      <c r="K95" s="86"/>
    </row>
    <row r="96" spans="1:11" ht="14.25" customHeight="1" x14ac:dyDescent="0.2">
      <c r="A96" s="82"/>
      <c r="B96" s="83"/>
      <c r="C96" s="96"/>
      <c r="D96" s="84"/>
      <c r="E96" s="85"/>
      <c r="F96" s="85"/>
      <c r="G96" s="85"/>
      <c r="H96" s="85"/>
      <c r="I96" s="85"/>
      <c r="J96" s="85"/>
      <c r="K96" s="86"/>
    </row>
    <row r="97" spans="1:11" ht="14.25" customHeight="1" x14ac:dyDescent="0.2">
      <c r="A97" s="82"/>
      <c r="B97" s="83"/>
      <c r="C97" s="96"/>
      <c r="D97" s="84"/>
      <c r="E97" s="85"/>
      <c r="F97" s="85"/>
      <c r="G97" s="85"/>
      <c r="H97" s="85"/>
      <c r="I97" s="85"/>
      <c r="J97" s="85"/>
      <c r="K97" s="86"/>
    </row>
    <row r="98" spans="1:11" ht="14.25" customHeight="1" x14ac:dyDescent="0.2">
      <c r="A98" s="82"/>
      <c r="B98" s="83"/>
      <c r="C98" s="96"/>
      <c r="D98" s="84"/>
      <c r="E98" s="85"/>
      <c r="F98" s="85"/>
      <c r="G98" s="85"/>
      <c r="H98" s="85"/>
      <c r="I98" s="85"/>
      <c r="J98" s="85"/>
      <c r="K98" s="86"/>
    </row>
    <row r="99" spans="1:11" ht="14.25" customHeight="1" x14ac:dyDescent="0.2">
      <c r="A99" s="82"/>
      <c r="B99" s="83"/>
      <c r="C99" s="96"/>
      <c r="D99" s="84"/>
      <c r="E99" s="85"/>
      <c r="F99" s="85"/>
      <c r="G99" s="85"/>
      <c r="H99" s="85"/>
      <c r="I99" s="85"/>
      <c r="J99" s="85"/>
    </row>
    <row r="100" spans="1:11" ht="14.25" customHeight="1" x14ac:dyDescent="0.2">
      <c r="A100" s="82"/>
      <c r="B100" s="83"/>
      <c r="C100" s="96"/>
      <c r="D100" s="84"/>
      <c r="E100" s="85"/>
      <c r="F100" s="85"/>
      <c r="G100" s="85"/>
      <c r="H100" s="85"/>
      <c r="I100" s="85"/>
      <c r="J100" s="85"/>
    </row>
    <row r="101" spans="1:11" ht="14.25" customHeight="1" x14ac:dyDescent="0.2">
      <c r="A101" s="82"/>
      <c r="B101" s="83"/>
      <c r="C101" s="96"/>
      <c r="D101" s="84"/>
      <c r="E101" s="85"/>
      <c r="F101" s="85"/>
      <c r="G101" s="85"/>
      <c r="H101" s="85"/>
      <c r="I101" s="85"/>
      <c r="J101" s="85"/>
    </row>
    <row r="102" spans="1:11" ht="14.25" customHeight="1" x14ac:dyDescent="0.2">
      <c r="A102" s="82"/>
      <c r="B102" s="83"/>
      <c r="C102" s="96"/>
      <c r="D102" s="84"/>
      <c r="E102" s="85"/>
      <c r="F102" s="85"/>
      <c r="G102" s="85"/>
      <c r="H102" s="85"/>
      <c r="I102" s="85"/>
      <c r="J102" s="85"/>
    </row>
    <row r="103" spans="1:11" ht="14.25" customHeight="1" x14ac:dyDescent="0.2">
      <c r="A103" s="82"/>
      <c r="B103" s="83"/>
      <c r="C103" s="96"/>
      <c r="D103" s="84"/>
      <c r="E103" s="85"/>
      <c r="F103" s="85"/>
      <c r="G103" s="85"/>
      <c r="H103" s="85"/>
      <c r="I103" s="85"/>
      <c r="J103" s="85"/>
      <c r="K103" s="86"/>
    </row>
    <row r="104" spans="1:11" ht="14.25" customHeight="1" x14ac:dyDescent="0.2">
      <c r="A104" s="82"/>
      <c r="B104" s="83"/>
      <c r="C104" s="96"/>
      <c r="D104" s="84"/>
      <c r="E104" s="85"/>
      <c r="F104" s="85"/>
      <c r="G104" s="85"/>
      <c r="H104" s="85"/>
      <c r="I104" s="85"/>
      <c r="J104" s="85"/>
    </row>
    <row r="105" spans="1:11" ht="14.25" customHeight="1" x14ac:dyDescent="0.2">
      <c r="A105" s="82"/>
      <c r="B105" s="83"/>
      <c r="C105" s="96"/>
      <c r="D105" s="84"/>
      <c r="E105" s="85"/>
      <c r="F105" s="85"/>
      <c r="G105" s="85"/>
      <c r="H105" s="85"/>
      <c r="I105" s="85"/>
      <c r="J105" s="85"/>
    </row>
    <row r="106" spans="1:11" ht="14.25" customHeight="1" x14ac:dyDescent="0.2">
      <c r="A106" s="82"/>
      <c r="B106" s="83"/>
      <c r="C106" s="96"/>
      <c r="D106" s="84"/>
      <c r="E106" s="85"/>
      <c r="F106" s="85"/>
      <c r="G106" s="85"/>
      <c r="H106" s="85"/>
      <c r="I106" s="85"/>
      <c r="J106" s="85"/>
    </row>
    <row r="107" spans="1:11" ht="14.25" customHeight="1" x14ac:dyDescent="0.2">
      <c r="A107" s="82"/>
      <c r="B107" s="83"/>
      <c r="C107" s="96"/>
      <c r="D107" s="84"/>
      <c r="E107" s="85"/>
      <c r="F107" s="85"/>
      <c r="G107" s="85"/>
      <c r="H107" s="85"/>
      <c r="I107" s="85"/>
      <c r="J107" s="85"/>
    </row>
    <row r="108" spans="1:11" ht="14.25" customHeight="1" x14ac:dyDescent="0.2">
      <c r="A108" s="82"/>
      <c r="B108" s="83"/>
      <c r="C108" s="96"/>
      <c r="D108" s="84"/>
      <c r="E108" s="85"/>
      <c r="F108" s="85"/>
      <c r="G108" s="85"/>
      <c r="H108" s="85"/>
      <c r="I108" s="85"/>
      <c r="J108" s="85"/>
    </row>
    <row r="109" spans="1:11" ht="14.25" customHeight="1" x14ac:dyDescent="0.2">
      <c r="A109" s="82"/>
      <c r="B109" s="83"/>
      <c r="C109" s="96"/>
      <c r="D109" s="84"/>
      <c r="E109" s="85"/>
      <c r="F109" s="85"/>
      <c r="G109" s="85"/>
      <c r="H109" s="85"/>
      <c r="I109" s="85"/>
      <c r="J109" s="85"/>
    </row>
    <row r="110" spans="1:11" ht="14.25" customHeight="1" x14ac:dyDescent="0.2">
      <c r="A110" s="82"/>
      <c r="B110" s="83"/>
      <c r="C110" s="96"/>
      <c r="D110" s="84"/>
      <c r="E110" s="85"/>
      <c r="F110" s="85"/>
      <c r="G110" s="85"/>
      <c r="H110" s="85"/>
      <c r="I110" s="85"/>
      <c r="J110" s="85"/>
    </row>
    <row r="111" spans="1:11" ht="14.25" customHeight="1" x14ac:dyDescent="0.2">
      <c r="A111" s="82"/>
      <c r="B111" s="83"/>
      <c r="C111" s="96"/>
      <c r="D111" s="84"/>
      <c r="E111" s="85"/>
      <c r="F111" s="85"/>
      <c r="G111" s="85"/>
      <c r="H111" s="85"/>
      <c r="I111" s="85"/>
      <c r="J111" s="85"/>
      <c r="K111" s="86"/>
    </row>
    <row r="112" spans="1:11" ht="14.25" customHeight="1" x14ac:dyDescent="0.2">
      <c r="A112" s="82"/>
      <c r="B112" s="83"/>
      <c r="C112" s="96"/>
      <c r="D112" s="84"/>
      <c r="E112" s="85"/>
      <c r="F112" s="85"/>
      <c r="G112" s="85"/>
      <c r="H112" s="85"/>
      <c r="I112" s="85"/>
      <c r="J112" s="85"/>
      <c r="K112" s="86"/>
    </row>
    <row r="113" spans="1:11" ht="14.25" customHeight="1" x14ac:dyDescent="0.2">
      <c r="A113" s="82"/>
      <c r="B113" s="83"/>
      <c r="C113" s="96"/>
      <c r="D113" s="84"/>
      <c r="E113" s="85"/>
      <c r="F113" s="85"/>
      <c r="G113" s="85"/>
      <c r="H113" s="85"/>
      <c r="I113" s="85"/>
      <c r="J113" s="85"/>
    </row>
    <row r="114" spans="1:11" ht="14.25" customHeight="1" x14ac:dyDescent="0.2">
      <c r="A114" s="82"/>
      <c r="B114" s="83"/>
      <c r="C114" s="96"/>
      <c r="D114" s="84"/>
      <c r="E114" s="85"/>
      <c r="F114" s="85"/>
      <c r="G114" s="85"/>
      <c r="H114" s="85"/>
      <c r="I114" s="85"/>
      <c r="J114" s="85"/>
    </row>
    <row r="115" spans="1:11" ht="14.25" customHeight="1" x14ac:dyDescent="0.2">
      <c r="A115" s="82"/>
      <c r="B115" s="83"/>
      <c r="C115" s="96"/>
      <c r="D115" s="84"/>
      <c r="E115" s="85"/>
      <c r="F115" s="85"/>
      <c r="G115" s="85"/>
      <c r="H115" s="85"/>
      <c r="I115" s="85"/>
      <c r="J115" s="85"/>
    </row>
    <row r="116" spans="1:11" ht="14.25" customHeight="1" x14ac:dyDescent="0.2">
      <c r="A116" s="82"/>
      <c r="B116" s="83"/>
      <c r="C116" s="96"/>
      <c r="D116" s="84"/>
      <c r="E116" s="85"/>
      <c r="F116" s="85"/>
      <c r="G116" s="85"/>
      <c r="H116" s="85"/>
      <c r="I116" s="85"/>
      <c r="J116" s="85"/>
    </row>
    <row r="117" spans="1:11" ht="14.25" customHeight="1" x14ac:dyDescent="0.2">
      <c r="A117" s="82"/>
      <c r="B117" s="83"/>
      <c r="C117" s="96"/>
      <c r="D117" s="84"/>
      <c r="E117" s="85"/>
      <c r="F117" s="85"/>
      <c r="G117" s="85"/>
      <c r="H117" s="85"/>
      <c r="I117" s="85"/>
      <c r="J117" s="85"/>
    </row>
    <row r="118" spans="1:11" ht="14.25" customHeight="1" x14ac:dyDescent="0.2">
      <c r="A118" s="82"/>
      <c r="B118" s="83"/>
      <c r="C118" s="96"/>
      <c r="D118" s="84"/>
      <c r="E118" s="85"/>
      <c r="F118" s="85"/>
      <c r="G118" s="85"/>
      <c r="H118" s="85"/>
      <c r="I118" s="85"/>
      <c r="J118" s="85"/>
    </row>
    <row r="119" spans="1:11" ht="14.25" customHeight="1" x14ac:dyDescent="0.2">
      <c r="A119" s="82"/>
      <c r="B119" s="83"/>
      <c r="C119" s="96"/>
      <c r="D119" s="84"/>
      <c r="E119" s="85"/>
      <c r="F119" s="85"/>
      <c r="G119" s="85"/>
      <c r="H119" s="85"/>
      <c r="I119" s="85"/>
      <c r="J119" s="85"/>
      <c r="K119" s="86"/>
    </row>
    <row r="120" spans="1:11" ht="14.25" customHeight="1" x14ac:dyDescent="0.2">
      <c r="A120" s="82"/>
      <c r="B120" s="83"/>
      <c r="C120" s="96"/>
      <c r="D120" s="84"/>
      <c r="E120" s="85"/>
      <c r="F120" s="85"/>
      <c r="G120" s="85"/>
      <c r="H120" s="85"/>
      <c r="I120" s="85"/>
      <c r="J120" s="85"/>
      <c r="K120" s="86"/>
    </row>
    <row r="121" spans="1:11" ht="14.25" customHeight="1" x14ac:dyDescent="0.2">
      <c r="A121" s="82"/>
      <c r="B121" s="83"/>
      <c r="C121" s="96"/>
      <c r="D121" s="84"/>
      <c r="E121" s="85"/>
      <c r="F121" s="85"/>
      <c r="G121" s="85"/>
      <c r="H121" s="85"/>
      <c r="I121" s="85"/>
      <c r="J121" s="85"/>
      <c r="K121" s="86"/>
    </row>
    <row r="122" spans="1:11" ht="14.25" customHeight="1" x14ac:dyDescent="0.2">
      <c r="A122" s="82"/>
      <c r="B122" s="83"/>
      <c r="C122" s="96"/>
      <c r="D122" s="84"/>
      <c r="E122" s="85"/>
      <c r="F122" s="85"/>
      <c r="G122" s="85"/>
      <c r="H122" s="85"/>
      <c r="I122" s="85"/>
      <c r="J122" s="85"/>
      <c r="K122" s="86"/>
    </row>
    <row r="123" spans="1:11" ht="14.25" customHeight="1" x14ac:dyDescent="0.2">
      <c r="A123" s="82"/>
      <c r="B123" s="83"/>
      <c r="C123" s="96"/>
      <c r="D123" s="84"/>
      <c r="E123" s="85"/>
      <c r="F123" s="85"/>
      <c r="G123" s="85"/>
      <c r="H123" s="85"/>
      <c r="I123" s="85"/>
      <c r="J123" s="85"/>
      <c r="K123" s="86"/>
    </row>
    <row r="124" spans="1:11" ht="14.25" customHeight="1" x14ac:dyDescent="0.2">
      <c r="A124" s="82"/>
      <c r="B124" s="83"/>
      <c r="C124" s="96"/>
      <c r="D124" s="84"/>
      <c r="E124" s="85"/>
      <c r="F124" s="85"/>
      <c r="G124" s="85"/>
      <c r="H124" s="85"/>
      <c r="I124" s="85"/>
      <c r="J124" s="85"/>
      <c r="K124" s="86"/>
    </row>
    <row r="125" spans="1:11" ht="14.25" customHeight="1" x14ac:dyDescent="0.2">
      <c r="A125" s="82"/>
      <c r="B125" s="83"/>
      <c r="C125" s="96"/>
      <c r="D125" s="84"/>
      <c r="E125" s="85"/>
      <c r="F125" s="85"/>
      <c r="G125" s="85"/>
      <c r="H125" s="85"/>
      <c r="I125" s="85"/>
      <c r="J125" s="85"/>
    </row>
    <row r="126" spans="1:11" ht="14.25" customHeight="1" x14ac:dyDescent="0.2">
      <c r="A126" s="82"/>
      <c r="B126" s="83"/>
      <c r="C126" s="96"/>
      <c r="D126" s="84"/>
      <c r="E126" s="85"/>
      <c r="F126" s="85"/>
      <c r="G126" s="85"/>
      <c r="H126" s="85"/>
      <c r="I126" s="85"/>
      <c r="J126" s="85"/>
      <c r="K126" s="86"/>
    </row>
    <row r="127" spans="1:11" ht="14.25" customHeight="1" x14ac:dyDescent="0.2">
      <c r="A127" s="82"/>
      <c r="B127" s="83"/>
      <c r="C127" s="96"/>
      <c r="D127" s="84"/>
      <c r="E127" s="85"/>
      <c r="F127" s="85"/>
      <c r="G127" s="85"/>
      <c r="H127" s="85"/>
      <c r="I127" s="85"/>
      <c r="J127" s="85"/>
      <c r="K127" s="86"/>
    </row>
    <row r="128" spans="1:11" ht="14.25" customHeight="1" x14ac:dyDescent="0.2">
      <c r="A128" s="82"/>
      <c r="B128" s="83"/>
      <c r="C128" s="96"/>
      <c r="D128" s="84"/>
      <c r="E128" s="85"/>
      <c r="F128" s="85"/>
      <c r="G128" s="85"/>
      <c r="H128" s="85"/>
      <c r="I128" s="85"/>
      <c r="J128" s="85"/>
      <c r="K128" s="86"/>
    </row>
    <row r="129" spans="1:11" ht="14.25" customHeight="1" x14ac:dyDescent="0.2">
      <c r="A129" s="82"/>
      <c r="B129" s="83"/>
      <c r="C129" s="96"/>
      <c r="D129" s="84"/>
      <c r="E129" s="85"/>
      <c r="F129" s="85"/>
      <c r="G129" s="85"/>
      <c r="H129" s="85"/>
      <c r="I129" s="85"/>
      <c r="J129" s="85"/>
    </row>
    <row r="130" spans="1:11" ht="14.25" customHeight="1" x14ac:dyDescent="0.2">
      <c r="A130" s="82"/>
      <c r="B130" s="83"/>
      <c r="C130" s="96"/>
      <c r="D130" s="84"/>
      <c r="E130" s="85"/>
      <c r="F130" s="85"/>
      <c r="G130" s="120"/>
      <c r="H130" s="85"/>
      <c r="I130" s="85"/>
      <c r="J130" s="85"/>
    </row>
    <row r="131" spans="1:11" ht="14.25" customHeight="1" x14ac:dyDescent="0.2">
      <c r="A131" s="82"/>
      <c r="B131" s="83"/>
      <c r="C131" s="96"/>
      <c r="D131" s="84"/>
      <c r="E131" s="85"/>
      <c r="F131" s="85"/>
      <c r="G131" s="120"/>
      <c r="H131" s="85"/>
      <c r="I131" s="85"/>
      <c r="J131" s="85"/>
      <c r="K131" s="86"/>
    </row>
    <row r="132" spans="1:11" ht="14.25" customHeight="1" x14ac:dyDescent="0.2">
      <c r="A132" s="82"/>
      <c r="B132" s="83"/>
      <c r="C132" s="96"/>
      <c r="D132" s="84"/>
      <c r="E132" s="85"/>
      <c r="F132" s="85"/>
      <c r="G132" s="120"/>
      <c r="H132" s="85"/>
      <c r="I132" s="85"/>
      <c r="J132" s="85"/>
    </row>
    <row r="133" spans="1:11" ht="14.25" customHeight="1" x14ac:dyDescent="0.2">
      <c r="A133" s="82"/>
      <c r="B133" s="83"/>
      <c r="C133" s="96"/>
      <c r="D133" s="84"/>
      <c r="E133" s="85"/>
      <c r="F133" s="85"/>
      <c r="G133" s="120"/>
      <c r="H133" s="85"/>
      <c r="I133" s="85"/>
      <c r="J133" s="85"/>
    </row>
    <row r="134" spans="1:11" ht="14.25" customHeight="1" x14ac:dyDescent="0.2">
      <c r="A134" s="82"/>
      <c r="B134" s="83"/>
      <c r="C134" s="96"/>
      <c r="D134" s="84"/>
      <c r="E134" s="85"/>
      <c r="F134" s="85"/>
      <c r="G134" s="120"/>
      <c r="H134" s="85"/>
      <c r="I134" s="85"/>
      <c r="J134" s="85"/>
    </row>
    <row r="135" spans="1:11" ht="14.25" customHeight="1" x14ac:dyDescent="0.2">
      <c r="A135" s="82"/>
      <c r="B135" s="83"/>
      <c r="C135" s="96"/>
      <c r="D135" s="84"/>
      <c r="E135" s="85"/>
      <c r="F135" s="85"/>
      <c r="G135" s="85"/>
      <c r="H135" s="85"/>
      <c r="I135" s="85"/>
      <c r="J135" s="85"/>
    </row>
    <row r="136" spans="1:11" ht="14.25" customHeight="1" x14ac:dyDescent="0.2">
      <c r="A136" s="82"/>
      <c r="B136" s="83"/>
      <c r="C136" s="96"/>
      <c r="D136" s="84"/>
      <c r="E136" s="85"/>
      <c r="F136" s="85"/>
      <c r="G136" s="120"/>
      <c r="H136" s="85"/>
      <c r="I136" s="85"/>
      <c r="J136" s="85"/>
    </row>
    <row r="137" spans="1:11" ht="14.25" customHeight="1" x14ac:dyDescent="0.2">
      <c r="A137" s="82"/>
      <c r="B137" s="83"/>
      <c r="C137" s="96"/>
      <c r="D137" s="84"/>
      <c r="E137" s="85"/>
      <c r="F137" s="85"/>
      <c r="G137" s="120"/>
      <c r="H137" s="85"/>
      <c r="I137" s="85"/>
      <c r="J137" s="85"/>
      <c r="K137" s="86"/>
    </row>
    <row r="138" spans="1:11" ht="14.25" customHeight="1" x14ac:dyDescent="0.2">
      <c r="A138" s="82"/>
      <c r="B138" s="83"/>
      <c r="C138" s="96"/>
      <c r="D138" s="84"/>
      <c r="E138" s="85"/>
      <c r="F138" s="85"/>
      <c r="G138" s="85"/>
      <c r="H138" s="85"/>
      <c r="I138" s="85"/>
      <c r="J138" s="85"/>
      <c r="K138" s="86"/>
    </row>
    <row r="139" spans="1:11" ht="14.25" customHeight="1" x14ac:dyDescent="0.2">
      <c r="A139" s="82"/>
      <c r="B139" s="83"/>
      <c r="C139" s="96"/>
      <c r="D139" s="84"/>
      <c r="E139" s="85"/>
      <c r="F139" s="85"/>
      <c r="G139" s="85"/>
      <c r="H139" s="85"/>
      <c r="I139" s="85"/>
      <c r="J139" s="85"/>
      <c r="K139" s="86"/>
    </row>
    <row r="140" spans="1:11" ht="14.25" customHeight="1" x14ac:dyDescent="0.2">
      <c r="A140" s="82"/>
      <c r="B140" s="83"/>
      <c r="C140" s="96"/>
      <c r="D140" s="84"/>
      <c r="E140" s="85"/>
      <c r="F140" s="85"/>
      <c r="G140" s="85"/>
      <c r="H140" s="85"/>
      <c r="I140" s="85"/>
      <c r="J140" s="85"/>
      <c r="K140" s="86"/>
    </row>
    <row r="141" spans="1:11" ht="14.25" customHeight="1" x14ac:dyDescent="0.2">
      <c r="A141" s="82"/>
      <c r="B141" s="83"/>
      <c r="C141" s="96"/>
      <c r="D141" s="84"/>
      <c r="E141" s="85"/>
      <c r="F141" s="85"/>
      <c r="G141" s="85"/>
      <c r="H141" s="85"/>
      <c r="I141" s="85"/>
      <c r="J141" s="85"/>
      <c r="K141" s="86"/>
    </row>
    <row r="142" spans="1:11" ht="14.25" customHeight="1" x14ac:dyDescent="0.2">
      <c r="A142" s="82"/>
      <c r="B142" s="83"/>
      <c r="C142" s="96"/>
      <c r="D142" s="84"/>
      <c r="E142" s="85"/>
      <c r="F142" s="85"/>
      <c r="G142" s="120"/>
      <c r="H142" s="85"/>
      <c r="I142" s="85"/>
      <c r="J142" s="85"/>
      <c r="K142" s="86"/>
    </row>
    <row r="143" spans="1:11" ht="14.25" customHeight="1" x14ac:dyDescent="0.2">
      <c r="A143" s="82"/>
      <c r="B143" s="83"/>
      <c r="C143" s="96"/>
      <c r="D143" s="84"/>
      <c r="E143" s="85"/>
      <c r="F143" s="85"/>
      <c r="G143" s="85"/>
      <c r="H143" s="85"/>
      <c r="I143" s="85"/>
      <c r="J143" s="85"/>
    </row>
    <row r="144" spans="1:11" ht="14.25" customHeight="1" x14ac:dyDescent="0.2">
      <c r="A144" s="82"/>
      <c r="B144" s="83"/>
      <c r="C144" s="96"/>
      <c r="D144" s="84"/>
      <c r="E144" s="85"/>
      <c r="F144" s="85"/>
      <c r="G144" s="85"/>
      <c r="H144" s="85"/>
      <c r="I144" s="85"/>
    </row>
    <row r="145" spans="1:11" ht="14.25" customHeight="1" x14ac:dyDescent="0.2">
      <c r="A145" s="82"/>
      <c r="B145" s="83"/>
      <c r="C145" s="96"/>
      <c r="D145" s="87"/>
      <c r="J145" s="85"/>
      <c r="K145" s="88"/>
    </row>
    <row r="146" spans="1:11" ht="14.25" customHeight="1" x14ac:dyDescent="0.2">
      <c r="A146" s="82"/>
      <c r="B146" s="83"/>
      <c r="C146" s="96"/>
      <c r="D146" s="87"/>
    </row>
    <row r="147" spans="1:11" ht="14.25" customHeight="1" x14ac:dyDescent="0.2">
      <c r="A147" s="82"/>
      <c r="B147" s="83"/>
      <c r="C147" s="96"/>
      <c r="D147" s="87"/>
    </row>
    <row r="148" spans="1:11" ht="14.25" customHeight="1" x14ac:dyDescent="0.2">
      <c r="A148" s="82"/>
      <c r="B148" s="83"/>
      <c r="C148" s="96"/>
      <c r="D148" s="87"/>
    </row>
    <row r="149" spans="1:11" ht="14.25" customHeight="1" x14ac:dyDescent="0.2">
      <c r="A149" s="82"/>
      <c r="B149" s="83"/>
      <c r="C149" s="96"/>
      <c r="D149" s="87"/>
      <c r="K149" s="86"/>
    </row>
    <row r="150" spans="1:11" ht="14.25" customHeight="1" x14ac:dyDescent="0.2">
      <c r="A150" s="82"/>
      <c r="B150" s="83"/>
      <c r="C150" s="96"/>
      <c r="D150" s="87"/>
    </row>
    <row r="151" spans="1:11" ht="14.25" customHeight="1" x14ac:dyDescent="0.2">
      <c r="A151" s="82"/>
      <c r="B151" s="83"/>
      <c r="C151" s="96"/>
      <c r="D151" s="87"/>
      <c r="K151" s="86"/>
    </row>
    <row r="152" spans="1:11" ht="14.25" customHeight="1" x14ac:dyDescent="0.2">
      <c r="A152" s="82"/>
      <c r="B152" s="83"/>
      <c r="C152" s="96"/>
      <c r="D152" s="87"/>
    </row>
    <row r="153" spans="1:11" ht="14.25" customHeight="1" x14ac:dyDescent="0.2">
      <c r="A153" s="82"/>
      <c r="B153" s="83"/>
      <c r="C153" s="96"/>
      <c r="D153" s="87"/>
      <c r="K153" s="86"/>
    </row>
    <row r="154" spans="1:11" ht="14.25" customHeight="1" x14ac:dyDescent="0.2">
      <c r="A154" s="82"/>
      <c r="B154" s="83"/>
      <c r="C154" s="96"/>
      <c r="D154" s="87"/>
      <c r="K154" s="86"/>
    </row>
    <row r="155" spans="1:11" ht="14.25" customHeight="1" x14ac:dyDescent="0.2">
      <c r="A155" s="82"/>
      <c r="B155" s="83"/>
      <c r="C155" s="96"/>
      <c r="D155" s="87"/>
      <c r="K155" s="1"/>
    </row>
    <row r="156" spans="1:11" ht="14.25" customHeight="1" x14ac:dyDescent="0.2">
      <c r="A156" s="82"/>
      <c r="B156" s="83"/>
      <c r="C156" s="96"/>
      <c r="D156" s="87"/>
    </row>
    <row r="157" spans="1:11" ht="14.25" customHeight="1" x14ac:dyDescent="0.2">
      <c r="A157" s="82"/>
      <c r="B157" s="83"/>
      <c r="C157" s="96"/>
      <c r="D157" s="87"/>
    </row>
    <row r="158" spans="1:11" ht="14.25" customHeight="1" x14ac:dyDescent="0.2">
      <c r="A158" s="82"/>
      <c r="B158" s="83"/>
      <c r="C158" s="96"/>
      <c r="D158" s="87"/>
    </row>
    <row r="159" spans="1:11" ht="14.25" customHeight="1" x14ac:dyDescent="0.2">
      <c r="A159" s="82"/>
      <c r="B159" s="83"/>
      <c r="C159" s="96"/>
      <c r="D159" s="87"/>
      <c r="K159" s="86"/>
    </row>
    <row r="160" spans="1:11" ht="14.25" customHeight="1" x14ac:dyDescent="0.2">
      <c r="A160" s="82"/>
      <c r="B160" s="83"/>
      <c r="C160" s="96"/>
      <c r="D160" s="87"/>
    </row>
    <row r="161" spans="1:11" ht="14.25" customHeight="1" x14ac:dyDescent="0.2">
      <c r="A161" s="82"/>
      <c r="B161" s="83"/>
      <c r="C161" s="96"/>
      <c r="D161" s="87"/>
      <c r="K161" s="86"/>
    </row>
    <row r="162" spans="1:11" ht="14.25" customHeight="1" x14ac:dyDescent="0.2">
      <c r="A162" s="82"/>
      <c r="B162" s="83"/>
      <c r="C162" s="96"/>
      <c r="D162" s="87"/>
      <c r="K162" s="86"/>
    </row>
    <row r="163" spans="1:11" ht="14.25" customHeight="1" x14ac:dyDescent="0.2">
      <c r="A163" s="82"/>
      <c r="B163" s="83"/>
      <c r="C163" s="96"/>
      <c r="D163" s="87"/>
      <c r="K163" s="86"/>
    </row>
    <row r="164" spans="1:11" ht="14.25" customHeight="1" x14ac:dyDescent="0.2">
      <c r="A164" s="82"/>
      <c r="B164" s="83"/>
      <c r="C164" s="96"/>
      <c r="D164" s="87"/>
      <c r="K164" s="86"/>
    </row>
    <row r="165" spans="1:11" ht="14.25" customHeight="1" x14ac:dyDescent="0.2">
      <c r="A165" s="82"/>
      <c r="B165" s="83"/>
      <c r="C165" s="96"/>
      <c r="D165" s="87"/>
      <c r="K165" s="86"/>
    </row>
    <row r="166" spans="1:11" ht="14.25" customHeight="1" x14ac:dyDescent="0.2">
      <c r="A166" s="82"/>
      <c r="B166" s="83"/>
      <c r="C166" s="96"/>
      <c r="D166" s="87"/>
      <c r="K166" s="86"/>
    </row>
    <row r="167" spans="1:11" ht="14.25" customHeight="1" x14ac:dyDescent="0.2">
      <c r="A167" s="82"/>
      <c r="B167" s="83"/>
      <c r="C167" s="96"/>
      <c r="D167" s="87"/>
      <c r="K167" s="86"/>
    </row>
    <row r="168" spans="1:11" ht="14.25" customHeight="1" x14ac:dyDescent="0.2">
      <c r="A168" s="82"/>
      <c r="B168" s="83"/>
      <c r="C168" s="96"/>
      <c r="D168" s="87"/>
      <c r="K168" s="86"/>
    </row>
    <row r="169" spans="1:11" ht="14.25" customHeight="1" x14ac:dyDescent="0.2">
      <c r="A169" s="82"/>
      <c r="B169" s="83"/>
      <c r="C169" s="96"/>
      <c r="D169" s="87"/>
    </row>
    <row r="170" spans="1:11" ht="14.25" customHeight="1" x14ac:dyDescent="0.2">
      <c r="A170" s="82"/>
      <c r="B170" s="83"/>
      <c r="C170" s="96"/>
      <c r="D170" s="87"/>
    </row>
    <row r="171" spans="1:11" ht="14.25" customHeight="1" x14ac:dyDescent="0.2">
      <c r="A171" s="82"/>
      <c r="B171" s="83"/>
      <c r="C171" s="96"/>
      <c r="D171" s="87"/>
    </row>
    <row r="172" spans="1:11" ht="14.25" customHeight="1" x14ac:dyDescent="0.2">
      <c r="A172" s="82"/>
      <c r="B172" s="83"/>
      <c r="C172" s="96"/>
      <c r="D172" s="87"/>
    </row>
    <row r="173" spans="1:11" ht="14.25" customHeight="1" x14ac:dyDescent="0.2">
      <c r="A173" s="82"/>
      <c r="B173" s="83"/>
      <c r="C173" s="96"/>
      <c r="D173" s="87"/>
    </row>
    <row r="174" spans="1:11" ht="14.25" customHeight="1" x14ac:dyDescent="0.2">
      <c r="A174" s="82"/>
      <c r="B174" s="83"/>
      <c r="C174" s="96"/>
      <c r="D174" s="87"/>
    </row>
    <row r="175" spans="1:11" ht="14.25" customHeight="1" x14ac:dyDescent="0.2">
      <c r="A175" s="82"/>
      <c r="B175" s="83"/>
      <c r="C175" s="96"/>
      <c r="D175" s="87"/>
      <c r="K175" s="86"/>
    </row>
    <row r="176" spans="1:11" ht="14.25" customHeight="1" x14ac:dyDescent="0.2">
      <c r="A176" s="82"/>
      <c r="B176" s="83"/>
      <c r="C176" s="96"/>
      <c r="D176" s="87"/>
      <c r="K176" s="86"/>
    </row>
    <row r="177" spans="1:32" ht="14.25" customHeight="1" x14ac:dyDescent="0.2">
      <c r="A177" s="82"/>
      <c r="B177" s="83"/>
      <c r="C177" s="96"/>
      <c r="D177" s="87"/>
      <c r="K177" s="86"/>
    </row>
    <row r="178" spans="1:32" ht="14.25" customHeight="1" x14ac:dyDescent="0.2">
      <c r="A178" s="82"/>
      <c r="B178" s="83"/>
      <c r="C178" s="96"/>
      <c r="D178" s="87"/>
      <c r="L178" s="1"/>
    </row>
    <row r="179" spans="1:32" ht="14.25" customHeight="1" x14ac:dyDescent="0.2">
      <c r="A179" s="82"/>
      <c r="B179" s="83"/>
      <c r="C179" s="96"/>
      <c r="D179" s="87"/>
      <c r="K179" s="86"/>
    </row>
    <row r="180" spans="1:32" ht="14.25" customHeight="1" x14ac:dyDescent="0.2">
      <c r="A180" s="82"/>
      <c r="B180" s="83"/>
      <c r="C180" s="96"/>
      <c r="D180" s="87"/>
      <c r="K180" s="86"/>
    </row>
    <row r="181" spans="1:32" ht="14.25" customHeight="1" x14ac:dyDescent="0.2">
      <c r="A181" s="82"/>
      <c r="B181" s="83"/>
      <c r="C181" s="96"/>
      <c r="D181" s="87"/>
      <c r="K181" s="86"/>
    </row>
    <row r="182" spans="1:32" ht="14.25" customHeight="1" x14ac:dyDescent="0.2">
      <c r="A182" s="89"/>
      <c r="B182" s="83"/>
      <c r="C182" s="96"/>
      <c r="D182" s="90"/>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row>
    <row r="183" spans="1:32" ht="14.25" customHeight="1" x14ac:dyDescent="0.2">
      <c r="A183" s="82"/>
      <c r="B183" s="83"/>
      <c r="C183" s="96"/>
      <c r="D183" s="87"/>
    </row>
    <row r="184" spans="1:32" ht="14.25" customHeight="1" x14ac:dyDescent="0.2">
      <c r="A184" s="82"/>
      <c r="B184" s="83"/>
      <c r="C184" s="96"/>
      <c r="D184" s="87"/>
    </row>
    <row r="185" spans="1:32" ht="14.25" customHeight="1" x14ac:dyDescent="0.2">
      <c r="A185" s="82"/>
      <c r="B185" s="83"/>
      <c r="C185" s="96"/>
      <c r="D185" s="87"/>
    </row>
    <row r="186" spans="1:32" ht="14.25" customHeight="1" x14ac:dyDescent="0.2">
      <c r="A186" s="82"/>
      <c r="B186" s="83"/>
      <c r="C186" s="96"/>
      <c r="D186" s="87"/>
    </row>
    <row r="187" spans="1:32" ht="14.25" customHeight="1" x14ac:dyDescent="0.2">
      <c r="A187" s="82"/>
      <c r="B187" s="83"/>
      <c r="C187" s="96"/>
      <c r="D187" s="87"/>
      <c r="K187" s="86"/>
    </row>
    <row r="188" spans="1:32" ht="14.25" customHeight="1" x14ac:dyDescent="0.2">
      <c r="A188" s="82"/>
      <c r="B188" s="83"/>
      <c r="C188" s="96"/>
      <c r="D188" s="87"/>
      <c r="K188" s="86"/>
    </row>
    <row r="189" spans="1:32" ht="14.25" customHeight="1" x14ac:dyDescent="0.2">
      <c r="A189" s="82"/>
      <c r="B189" s="83"/>
      <c r="C189" s="96"/>
      <c r="D189" s="87"/>
      <c r="K189" s="86"/>
    </row>
    <row r="190" spans="1:32" ht="14.25" customHeight="1" x14ac:dyDescent="0.2">
      <c r="A190" s="82"/>
      <c r="B190" s="83"/>
      <c r="C190" s="96"/>
      <c r="D190" s="87"/>
      <c r="K190" s="86"/>
    </row>
    <row r="191" spans="1:32" ht="14.25" customHeight="1" x14ac:dyDescent="0.2">
      <c r="A191" s="82"/>
      <c r="B191" s="83"/>
      <c r="C191" s="96"/>
      <c r="D191" s="87"/>
      <c r="K191" s="86"/>
    </row>
    <row r="192" spans="1:32" ht="14.25" customHeight="1" x14ac:dyDescent="0.2">
      <c r="A192" s="82"/>
      <c r="B192" s="83"/>
      <c r="C192" s="96"/>
      <c r="D192" s="87"/>
      <c r="K192" s="86"/>
    </row>
    <row r="193" spans="1:11" ht="14.25" customHeight="1" x14ac:dyDescent="0.2">
      <c r="A193" s="89"/>
      <c r="B193" s="83"/>
      <c r="C193" s="96"/>
      <c r="D193" s="87"/>
    </row>
    <row r="194" spans="1:11" ht="14.25" customHeight="1" x14ac:dyDescent="0.2">
      <c r="A194" s="82"/>
      <c r="B194" s="83"/>
      <c r="C194" s="96"/>
      <c r="D194" s="87"/>
      <c r="K194" s="86"/>
    </row>
    <row r="195" spans="1:11" ht="14.25" customHeight="1" x14ac:dyDescent="0.2">
      <c r="A195" s="82"/>
      <c r="B195" s="83"/>
      <c r="C195" s="96"/>
      <c r="D195" s="87"/>
    </row>
    <row r="196" spans="1:11" ht="14.25" customHeight="1" x14ac:dyDescent="0.2">
      <c r="A196" s="82"/>
      <c r="B196" s="83"/>
      <c r="C196" s="96"/>
      <c r="D196" s="87"/>
    </row>
    <row r="197" spans="1:11" ht="14.25" customHeight="1" x14ac:dyDescent="0.2">
      <c r="A197" s="82"/>
      <c r="B197" s="83"/>
      <c r="C197" s="96"/>
      <c r="D197" s="87"/>
    </row>
    <row r="198" spans="1:11" ht="14.25" customHeight="1" x14ac:dyDescent="0.2">
      <c r="A198" s="82"/>
      <c r="B198" s="83"/>
      <c r="C198" s="96"/>
      <c r="D198" s="87"/>
      <c r="K198" s="86"/>
    </row>
    <row r="199" spans="1:11" ht="14.25" customHeight="1" x14ac:dyDescent="0.2">
      <c r="A199" s="82"/>
      <c r="B199" s="83"/>
      <c r="C199" s="96"/>
      <c r="D199" s="87"/>
      <c r="K199" s="86"/>
    </row>
    <row r="200" spans="1:11" ht="14.25" customHeight="1" x14ac:dyDescent="0.2">
      <c r="A200" s="82"/>
      <c r="B200" s="83"/>
      <c r="C200" s="96"/>
      <c r="D200" s="87"/>
    </row>
    <row r="201" spans="1:11" ht="14.25" customHeight="1" x14ac:dyDescent="0.2">
      <c r="A201" s="82"/>
      <c r="B201" s="83"/>
      <c r="C201" s="96"/>
      <c r="D201" s="87"/>
    </row>
    <row r="202" spans="1:11" ht="14.25" customHeight="1" x14ac:dyDescent="0.2">
      <c r="A202" s="82"/>
      <c r="B202" s="83"/>
      <c r="C202" s="96"/>
      <c r="D202" s="87"/>
    </row>
    <row r="203" spans="1:11" ht="14.25" customHeight="1" x14ac:dyDescent="0.2">
      <c r="A203" s="82"/>
      <c r="B203" s="83" t="e">
        <f t="shared" ref="B203:B457" si="0">IF(H203="credit",#REF!, (#REF!* -1))</f>
        <v>#REF!</v>
      </c>
      <c r="C203" s="96" t="e">
        <f t="shared" ref="C203:C457" si="1">C202+B203</f>
        <v>#REF!</v>
      </c>
      <c r="D203" s="87"/>
    </row>
    <row r="204" spans="1:11" ht="14.25" customHeight="1" x14ac:dyDescent="0.2">
      <c r="A204" s="82"/>
      <c r="B204" s="83" t="e">
        <f t="shared" si="0"/>
        <v>#REF!</v>
      </c>
      <c r="C204" s="96" t="e">
        <f t="shared" si="1"/>
        <v>#REF!</v>
      </c>
      <c r="D204" s="87"/>
    </row>
    <row r="205" spans="1:11" ht="14.25" customHeight="1" x14ac:dyDescent="0.2">
      <c r="A205" s="82"/>
      <c r="B205" s="83" t="e">
        <f t="shared" si="0"/>
        <v>#REF!</v>
      </c>
      <c r="C205" s="96" t="e">
        <f t="shared" si="1"/>
        <v>#REF!</v>
      </c>
      <c r="D205" s="87"/>
    </row>
    <row r="206" spans="1:11" ht="14.25" customHeight="1" x14ac:dyDescent="0.2">
      <c r="A206" s="82"/>
      <c r="B206" s="83" t="e">
        <f t="shared" si="0"/>
        <v>#REF!</v>
      </c>
      <c r="C206" s="96" t="e">
        <f t="shared" si="1"/>
        <v>#REF!</v>
      </c>
      <c r="D206" s="87"/>
    </row>
    <row r="207" spans="1:11" ht="14.25" customHeight="1" x14ac:dyDescent="0.2">
      <c r="A207" s="82"/>
      <c r="B207" s="83" t="e">
        <f t="shared" si="0"/>
        <v>#REF!</v>
      </c>
      <c r="C207" s="96" t="e">
        <f t="shared" si="1"/>
        <v>#REF!</v>
      </c>
      <c r="D207" s="87"/>
    </row>
    <row r="208" spans="1:11" ht="14.25" customHeight="1" x14ac:dyDescent="0.2">
      <c r="A208" s="82"/>
      <c r="B208" s="83" t="e">
        <f t="shared" si="0"/>
        <v>#REF!</v>
      </c>
      <c r="C208" s="96" t="e">
        <f t="shared" si="1"/>
        <v>#REF!</v>
      </c>
      <c r="D208" s="87"/>
    </row>
    <row r="209" spans="1:32" ht="14.25" customHeight="1" x14ac:dyDescent="0.2">
      <c r="A209" s="82"/>
      <c r="B209" s="83" t="e">
        <f t="shared" si="0"/>
        <v>#REF!</v>
      </c>
      <c r="C209" s="96" t="e">
        <f t="shared" si="1"/>
        <v>#REF!</v>
      </c>
      <c r="D209" s="87"/>
    </row>
    <row r="210" spans="1:32" ht="14.25" customHeight="1" x14ac:dyDescent="0.2">
      <c r="A210" s="82"/>
      <c r="B210" s="83" t="e">
        <f t="shared" si="0"/>
        <v>#REF!</v>
      </c>
      <c r="C210" s="96" t="e">
        <f t="shared" si="1"/>
        <v>#REF!</v>
      </c>
      <c r="D210" s="87"/>
      <c r="M210" s="91"/>
      <c r="N210" s="91"/>
      <c r="O210" s="91"/>
      <c r="P210" s="91"/>
      <c r="Q210" s="91"/>
      <c r="R210" s="91"/>
      <c r="S210" s="91"/>
      <c r="T210" s="91"/>
      <c r="U210" s="91"/>
      <c r="V210" s="91"/>
      <c r="W210" s="91"/>
      <c r="X210" s="91"/>
      <c r="Y210" s="91"/>
      <c r="Z210" s="91"/>
      <c r="AA210" s="91"/>
      <c r="AB210" s="91"/>
      <c r="AC210" s="91"/>
      <c r="AD210" s="91"/>
      <c r="AE210" s="91"/>
      <c r="AF210" s="91"/>
    </row>
    <row r="211" spans="1:32" ht="14.25" customHeight="1" x14ac:dyDescent="0.2">
      <c r="A211" s="82"/>
      <c r="B211" s="83" t="e">
        <f t="shared" si="0"/>
        <v>#REF!</v>
      </c>
      <c r="C211" s="96" t="e">
        <f t="shared" si="1"/>
        <v>#REF!</v>
      </c>
      <c r="D211" s="87"/>
    </row>
    <row r="212" spans="1:32" ht="14.25" customHeight="1" x14ac:dyDescent="0.2">
      <c r="A212" s="82"/>
      <c r="B212" s="83" t="e">
        <f t="shared" si="0"/>
        <v>#REF!</v>
      </c>
      <c r="C212" s="96" t="e">
        <f t="shared" si="1"/>
        <v>#REF!</v>
      </c>
      <c r="D212" s="87"/>
    </row>
    <row r="213" spans="1:32" ht="14.25" customHeight="1" x14ac:dyDescent="0.2">
      <c r="A213" s="82"/>
      <c r="B213" s="83" t="e">
        <f t="shared" si="0"/>
        <v>#REF!</v>
      </c>
      <c r="C213" s="96" t="e">
        <f t="shared" si="1"/>
        <v>#REF!</v>
      </c>
      <c r="D213" s="87"/>
    </row>
    <row r="214" spans="1:32" ht="14.25" customHeight="1" x14ac:dyDescent="0.2">
      <c r="A214" s="82"/>
      <c r="B214" s="83" t="e">
        <f t="shared" si="0"/>
        <v>#REF!</v>
      </c>
      <c r="C214" s="96" t="e">
        <f t="shared" si="1"/>
        <v>#REF!</v>
      </c>
      <c r="D214" s="87"/>
    </row>
    <row r="215" spans="1:32" ht="14.25" customHeight="1" x14ac:dyDescent="0.2">
      <c r="A215" s="82"/>
      <c r="B215" s="83" t="e">
        <f t="shared" si="0"/>
        <v>#REF!</v>
      </c>
      <c r="C215" s="96" t="e">
        <f t="shared" si="1"/>
        <v>#REF!</v>
      </c>
      <c r="D215" s="87"/>
    </row>
    <row r="216" spans="1:32" ht="14.25" customHeight="1" x14ac:dyDescent="0.2">
      <c r="A216" s="82"/>
      <c r="B216" s="83" t="e">
        <f t="shared" si="0"/>
        <v>#REF!</v>
      </c>
      <c r="C216" s="96" t="e">
        <f t="shared" si="1"/>
        <v>#REF!</v>
      </c>
      <c r="D216" s="87"/>
    </row>
    <row r="217" spans="1:32" ht="14.25" customHeight="1" x14ac:dyDescent="0.2">
      <c r="A217" s="82"/>
      <c r="B217" s="83" t="e">
        <f t="shared" si="0"/>
        <v>#REF!</v>
      </c>
      <c r="C217" s="96" t="e">
        <f t="shared" si="1"/>
        <v>#REF!</v>
      </c>
      <c r="D217" s="87"/>
    </row>
    <row r="218" spans="1:32" ht="14.25" customHeight="1" x14ac:dyDescent="0.2">
      <c r="A218" s="82"/>
      <c r="B218" s="83" t="e">
        <f t="shared" si="0"/>
        <v>#REF!</v>
      </c>
      <c r="C218" s="96" t="e">
        <f t="shared" si="1"/>
        <v>#REF!</v>
      </c>
      <c r="D218" s="87"/>
    </row>
    <row r="219" spans="1:32" ht="14.25" customHeight="1" x14ac:dyDescent="0.2">
      <c r="A219" s="82"/>
      <c r="B219" s="83" t="e">
        <f t="shared" si="0"/>
        <v>#REF!</v>
      </c>
      <c r="C219" s="96" t="e">
        <f t="shared" si="1"/>
        <v>#REF!</v>
      </c>
      <c r="D219" s="87"/>
    </row>
    <row r="220" spans="1:32" ht="14.25" customHeight="1" x14ac:dyDescent="0.2">
      <c r="A220" s="82"/>
      <c r="B220" s="83" t="e">
        <f t="shared" si="0"/>
        <v>#REF!</v>
      </c>
      <c r="C220" s="96" t="e">
        <f t="shared" si="1"/>
        <v>#REF!</v>
      </c>
      <c r="D220" s="87"/>
    </row>
    <row r="221" spans="1:32" ht="14.25" customHeight="1" x14ac:dyDescent="0.2">
      <c r="A221" s="82"/>
      <c r="B221" s="83" t="e">
        <f t="shared" si="0"/>
        <v>#REF!</v>
      </c>
      <c r="C221" s="96" t="e">
        <f t="shared" si="1"/>
        <v>#REF!</v>
      </c>
      <c r="D221" s="87"/>
    </row>
    <row r="222" spans="1:32" ht="14.25" customHeight="1" x14ac:dyDescent="0.2">
      <c r="A222" s="82"/>
      <c r="B222" s="83" t="e">
        <f t="shared" si="0"/>
        <v>#REF!</v>
      </c>
      <c r="C222" s="96" t="e">
        <f t="shared" si="1"/>
        <v>#REF!</v>
      </c>
      <c r="D222" s="87"/>
    </row>
    <row r="223" spans="1:32" ht="14.25" customHeight="1" x14ac:dyDescent="0.2">
      <c r="A223" s="82"/>
      <c r="B223" s="83" t="e">
        <f t="shared" si="0"/>
        <v>#REF!</v>
      </c>
      <c r="C223" s="96" t="e">
        <f t="shared" si="1"/>
        <v>#REF!</v>
      </c>
      <c r="D223" s="87"/>
    </row>
    <row r="224" spans="1:32" ht="14.25" customHeight="1" x14ac:dyDescent="0.2">
      <c r="A224" s="82"/>
      <c r="B224" s="83" t="e">
        <f t="shared" si="0"/>
        <v>#REF!</v>
      </c>
      <c r="C224" s="96" t="e">
        <f t="shared" si="1"/>
        <v>#REF!</v>
      </c>
      <c r="D224" s="87"/>
    </row>
    <row r="225" spans="1:4" ht="14.25" customHeight="1" x14ac:dyDescent="0.2">
      <c r="A225" s="82"/>
      <c r="B225" s="83" t="e">
        <f t="shared" si="0"/>
        <v>#REF!</v>
      </c>
      <c r="C225" s="96" t="e">
        <f t="shared" si="1"/>
        <v>#REF!</v>
      </c>
      <c r="D225" s="87"/>
    </row>
    <row r="226" spans="1:4" ht="14.25" customHeight="1" x14ac:dyDescent="0.2">
      <c r="A226" s="82"/>
      <c r="B226" s="83" t="e">
        <f t="shared" si="0"/>
        <v>#REF!</v>
      </c>
      <c r="C226" s="96" t="e">
        <f t="shared" si="1"/>
        <v>#REF!</v>
      </c>
      <c r="D226" s="87"/>
    </row>
    <row r="227" spans="1:4" ht="14.25" customHeight="1" x14ac:dyDescent="0.2">
      <c r="A227" s="82"/>
      <c r="B227" s="83" t="e">
        <f t="shared" si="0"/>
        <v>#REF!</v>
      </c>
      <c r="C227" s="96" t="e">
        <f t="shared" si="1"/>
        <v>#REF!</v>
      </c>
      <c r="D227" s="87"/>
    </row>
    <row r="228" spans="1:4" ht="14.25" customHeight="1" x14ac:dyDescent="0.2">
      <c r="A228" s="82"/>
      <c r="B228" s="83" t="e">
        <f t="shared" si="0"/>
        <v>#REF!</v>
      </c>
      <c r="C228" s="96" t="e">
        <f t="shared" si="1"/>
        <v>#REF!</v>
      </c>
      <c r="D228" s="87"/>
    </row>
    <row r="229" spans="1:4" ht="14.25" customHeight="1" x14ac:dyDescent="0.2">
      <c r="A229" s="82"/>
      <c r="B229" s="83" t="e">
        <f t="shared" si="0"/>
        <v>#REF!</v>
      </c>
      <c r="C229" s="96" t="e">
        <f t="shared" si="1"/>
        <v>#REF!</v>
      </c>
      <c r="D229" s="87"/>
    </row>
    <row r="230" spans="1:4" ht="14.25" customHeight="1" x14ac:dyDescent="0.2">
      <c r="A230" s="82"/>
      <c r="B230" s="83" t="e">
        <f t="shared" si="0"/>
        <v>#REF!</v>
      </c>
      <c r="C230" s="96" t="e">
        <f t="shared" si="1"/>
        <v>#REF!</v>
      </c>
      <c r="D230" s="87"/>
    </row>
    <row r="231" spans="1:4" ht="14.25" customHeight="1" x14ac:dyDescent="0.2">
      <c r="A231" s="82"/>
      <c r="B231" s="83" t="e">
        <f t="shared" si="0"/>
        <v>#REF!</v>
      </c>
      <c r="C231" s="96" t="e">
        <f t="shared" si="1"/>
        <v>#REF!</v>
      </c>
      <c r="D231" s="87"/>
    </row>
    <row r="232" spans="1:4" ht="14.25" customHeight="1" x14ac:dyDescent="0.2">
      <c r="A232" s="82"/>
      <c r="B232" s="83" t="e">
        <f t="shared" si="0"/>
        <v>#REF!</v>
      </c>
      <c r="C232" s="96" t="e">
        <f t="shared" si="1"/>
        <v>#REF!</v>
      </c>
      <c r="D232" s="87"/>
    </row>
    <row r="233" spans="1:4" ht="14.25" customHeight="1" x14ac:dyDescent="0.2">
      <c r="A233" s="82"/>
      <c r="B233" s="83" t="e">
        <f t="shared" si="0"/>
        <v>#REF!</v>
      </c>
      <c r="C233" s="96" t="e">
        <f t="shared" si="1"/>
        <v>#REF!</v>
      </c>
      <c r="D233" s="87"/>
    </row>
    <row r="234" spans="1:4" ht="14.25" customHeight="1" x14ac:dyDescent="0.2">
      <c r="A234" s="82"/>
      <c r="B234" s="83" t="e">
        <f t="shared" si="0"/>
        <v>#REF!</v>
      </c>
      <c r="C234" s="96" t="e">
        <f t="shared" si="1"/>
        <v>#REF!</v>
      </c>
      <c r="D234" s="87"/>
    </row>
    <row r="235" spans="1:4" ht="14.25" customHeight="1" x14ac:dyDescent="0.2">
      <c r="A235" s="82"/>
      <c r="B235" s="83" t="e">
        <f t="shared" si="0"/>
        <v>#REF!</v>
      </c>
      <c r="C235" s="96" t="e">
        <f t="shared" si="1"/>
        <v>#REF!</v>
      </c>
      <c r="D235" s="87"/>
    </row>
    <row r="236" spans="1:4" ht="14.25" customHeight="1" x14ac:dyDescent="0.2">
      <c r="A236" s="82"/>
      <c r="B236" s="83" t="e">
        <f t="shared" si="0"/>
        <v>#REF!</v>
      </c>
      <c r="C236" s="96" t="e">
        <f t="shared" si="1"/>
        <v>#REF!</v>
      </c>
      <c r="D236" s="87"/>
    </row>
    <row r="237" spans="1:4" ht="14.25" customHeight="1" x14ac:dyDescent="0.2">
      <c r="A237" s="82"/>
      <c r="B237" s="83" t="e">
        <f t="shared" si="0"/>
        <v>#REF!</v>
      </c>
      <c r="C237" s="96" t="e">
        <f t="shared" si="1"/>
        <v>#REF!</v>
      </c>
      <c r="D237" s="87"/>
    </row>
    <row r="238" spans="1:4" ht="14.25" customHeight="1" x14ac:dyDescent="0.2">
      <c r="A238" s="82"/>
      <c r="B238" s="83" t="e">
        <f t="shared" si="0"/>
        <v>#REF!</v>
      </c>
      <c r="C238" s="96" t="e">
        <f t="shared" si="1"/>
        <v>#REF!</v>
      </c>
      <c r="D238" s="87"/>
    </row>
    <row r="239" spans="1:4" ht="14.25" customHeight="1" x14ac:dyDescent="0.2">
      <c r="A239" s="82"/>
      <c r="B239" s="83" t="e">
        <f t="shared" si="0"/>
        <v>#REF!</v>
      </c>
      <c r="C239" s="96" t="e">
        <f t="shared" si="1"/>
        <v>#REF!</v>
      </c>
      <c r="D239" s="87"/>
    </row>
    <row r="240" spans="1:4" ht="14.25" customHeight="1" x14ac:dyDescent="0.2">
      <c r="A240" s="82"/>
      <c r="B240" s="83" t="e">
        <f t="shared" si="0"/>
        <v>#REF!</v>
      </c>
      <c r="C240" s="96" t="e">
        <f t="shared" si="1"/>
        <v>#REF!</v>
      </c>
      <c r="D240" s="87"/>
    </row>
    <row r="241" spans="1:4" ht="14.25" customHeight="1" x14ac:dyDescent="0.2">
      <c r="A241" s="82"/>
      <c r="B241" s="83" t="e">
        <f t="shared" si="0"/>
        <v>#REF!</v>
      </c>
      <c r="C241" s="96" t="e">
        <f t="shared" si="1"/>
        <v>#REF!</v>
      </c>
      <c r="D241" s="87"/>
    </row>
    <row r="242" spans="1:4" ht="14.25" customHeight="1" x14ac:dyDescent="0.2">
      <c r="A242" s="82"/>
      <c r="B242" s="83" t="e">
        <f t="shared" si="0"/>
        <v>#REF!</v>
      </c>
      <c r="C242" s="96" t="e">
        <f t="shared" si="1"/>
        <v>#REF!</v>
      </c>
      <c r="D242" s="87"/>
    </row>
    <row r="243" spans="1:4" ht="14.25" customHeight="1" x14ac:dyDescent="0.2">
      <c r="A243" s="82"/>
      <c r="B243" s="83" t="e">
        <f t="shared" si="0"/>
        <v>#REF!</v>
      </c>
      <c r="C243" s="96" t="e">
        <f t="shared" si="1"/>
        <v>#REF!</v>
      </c>
      <c r="D243" s="87"/>
    </row>
    <row r="244" spans="1:4" ht="14.25" customHeight="1" x14ac:dyDescent="0.2">
      <c r="A244" s="82"/>
      <c r="B244" s="83" t="e">
        <f t="shared" si="0"/>
        <v>#REF!</v>
      </c>
      <c r="C244" s="96" t="e">
        <f t="shared" si="1"/>
        <v>#REF!</v>
      </c>
      <c r="D244" s="87"/>
    </row>
    <row r="245" spans="1:4" ht="14.25" customHeight="1" x14ac:dyDescent="0.2">
      <c r="A245" s="82"/>
      <c r="B245" s="83" t="e">
        <f t="shared" si="0"/>
        <v>#REF!</v>
      </c>
      <c r="C245" s="96" t="e">
        <f t="shared" si="1"/>
        <v>#REF!</v>
      </c>
      <c r="D245" s="87"/>
    </row>
    <row r="246" spans="1:4" ht="14.25" customHeight="1" x14ac:dyDescent="0.2">
      <c r="A246" s="82"/>
      <c r="B246" s="83" t="e">
        <f t="shared" si="0"/>
        <v>#REF!</v>
      </c>
      <c r="C246" s="96" t="e">
        <f t="shared" si="1"/>
        <v>#REF!</v>
      </c>
      <c r="D246" s="87"/>
    </row>
    <row r="247" spans="1:4" ht="14.25" customHeight="1" x14ac:dyDescent="0.2">
      <c r="A247" s="82"/>
      <c r="B247" s="83" t="e">
        <f t="shared" si="0"/>
        <v>#REF!</v>
      </c>
      <c r="C247" s="96" t="e">
        <f t="shared" si="1"/>
        <v>#REF!</v>
      </c>
      <c r="D247" s="87"/>
    </row>
    <row r="248" spans="1:4" ht="14.25" customHeight="1" x14ac:dyDescent="0.2">
      <c r="A248" s="82"/>
      <c r="B248" s="83" t="e">
        <f t="shared" si="0"/>
        <v>#REF!</v>
      </c>
      <c r="C248" s="96" t="e">
        <f t="shared" si="1"/>
        <v>#REF!</v>
      </c>
      <c r="D248" s="87"/>
    </row>
    <row r="249" spans="1:4" ht="14.25" customHeight="1" x14ac:dyDescent="0.2">
      <c r="A249" s="82"/>
      <c r="B249" s="83" t="e">
        <f t="shared" si="0"/>
        <v>#REF!</v>
      </c>
      <c r="C249" s="96" t="e">
        <f t="shared" si="1"/>
        <v>#REF!</v>
      </c>
      <c r="D249" s="87"/>
    </row>
    <row r="250" spans="1:4" ht="14.25" customHeight="1" x14ac:dyDescent="0.2">
      <c r="A250" s="82"/>
      <c r="B250" s="83" t="e">
        <f t="shared" si="0"/>
        <v>#REF!</v>
      </c>
      <c r="C250" s="96" t="e">
        <f t="shared" si="1"/>
        <v>#REF!</v>
      </c>
      <c r="D250" s="87"/>
    </row>
    <row r="251" spans="1:4" ht="14.25" customHeight="1" x14ac:dyDescent="0.2">
      <c r="A251" s="82"/>
      <c r="B251" s="83" t="e">
        <f t="shared" si="0"/>
        <v>#REF!</v>
      </c>
      <c r="C251" s="96" t="e">
        <f t="shared" si="1"/>
        <v>#REF!</v>
      </c>
      <c r="D251" s="87"/>
    </row>
    <row r="252" spans="1:4" ht="14.25" customHeight="1" x14ac:dyDescent="0.2">
      <c r="A252" s="82"/>
      <c r="B252" s="83" t="e">
        <f t="shared" si="0"/>
        <v>#REF!</v>
      </c>
      <c r="C252" s="96" t="e">
        <f t="shared" si="1"/>
        <v>#REF!</v>
      </c>
      <c r="D252" s="87"/>
    </row>
    <row r="253" spans="1:4" ht="14.25" customHeight="1" x14ac:dyDescent="0.2">
      <c r="A253" s="82"/>
      <c r="B253" s="83" t="e">
        <f t="shared" si="0"/>
        <v>#REF!</v>
      </c>
      <c r="C253" s="96" t="e">
        <f t="shared" si="1"/>
        <v>#REF!</v>
      </c>
      <c r="D253" s="87"/>
    </row>
    <row r="254" spans="1:4" ht="14.25" customHeight="1" x14ac:dyDescent="0.2">
      <c r="A254" s="82"/>
      <c r="B254" s="83" t="e">
        <f t="shared" si="0"/>
        <v>#REF!</v>
      </c>
      <c r="C254" s="96" t="e">
        <f t="shared" si="1"/>
        <v>#REF!</v>
      </c>
      <c r="D254" s="87"/>
    </row>
    <row r="255" spans="1:4" ht="14.25" customHeight="1" x14ac:dyDescent="0.2">
      <c r="A255" s="82"/>
      <c r="B255" s="83" t="e">
        <f t="shared" si="0"/>
        <v>#REF!</v>
      </c>
      <c r="C255" s="96" t="e">
        <f t="shared" si="1"/>
        <v>#REF!</v>
      </c>
      <c r="D255" s="87"/>
    </row>
    <row r="256" spans="1:4" ht="14.25" customHeight="1" x14ac:dyDescent="0.2">
      <c r="A256" s="82"/>
      <c r="B256" s="83" t="e">
        <f t="shared" si="0"/>
        <v>#REF!</v>
      </c>
      <c r="C256" s="96" t="e">
        <f t="shared" si="1"/>
        <v>#REF!</v>
      </c>
      <c r="D256" s="87"/>
    </row>
    <row r="257" spans="1:4" ht="14.25" customHeight="1" x14ac:dyDescent="0.2">
      <c r="A257" s="82"/>
      <c r="B257" s="83" t="e">
        <f t="shared" si="0"/>
        <v>#REF!</v>
      </c>
      <c r="C257" s="96" t="e">
        <f t="shared" si="1"/>
        <v>#REF!</v>
      </c>
      <c r="D257" s="87"/>
    </row>
    <row r="258" spans="1:4" ht="14.25" customHeight="1" x14ac:dyDescent="0.2">
      <c r="A258" s="82"/>
      <c r="B258" s="83" t="e">
        <f t="shared" si="0"/>
        <v>#REF!</v>
      </c>
      <c r="C258" s="96" t="e">
        <f t="shared" si="1"/>
        <v>#REF!</v>
      </c>
      <c r="D258" s="87"/>
    </row>
    <row r="259" spans="1:4" ht="14.25" customHeight="1" x14ac:dyDescent="0.2">
      <c r="A259" s="82"/>
      <c r="B259" s="83" t="e">
        <f t="shared" si="0"/>
        <v>#REF!</v>
      </c>
      <c r="C259" s="96" t="e">
        <f t="shared" si="1"/>
        <v>#REF!</v>
      </c>
      <c r="D259" s="87"/>
    </row>
    <row r="260" spans="1:4" ht="14.25" customHeight="1" x14ac:dyDescent="0.2">
      <c r="A260" s="82"/>
      <c r="B260" s="83" t="e">
        <f t="shared" si="0"/>
        <v>#REF!</v>
      </c>
      <c r="C260" s="96" t="e">
        <f t="shared" si="1"/>
        <v>#REF!</v>
      </c>
      <c r="D260" s="87"/>
    </row>
    <row r="261" spans="1:4" ht="14.25" customHeight="1" x14ac:dyDescent="0.2">
      <c r="A261" s="82"/>
      <c r="B261" s="83" t="e">
        <f t="shared" si="0"/>
        <v>#REF!</v>
      </c>
      <c r="C261" s="96" t="e">
        <f t="shared" si="1"/>
        <v>#REF!</v>
      </c>
      <c r="D261" s="87"/>
    </row>
    <row r="262" spans="1:4" ht="14.25" customHeight="1" x14ac:dyDescent="0.2">
      <c r="A262" s="82"/>
      <c r="B262" s="83" t="e">
        <f t="shared" si="0"/>
        <v>#REF!</v>
      </c>
      <c r="C262" s="96" t="e">
        <f t="shared" si="1"/>
        <v>#REF!</v>
      </c>
      <c r="D262" s="87"/>
    </row>
    <row r="263" spans="1:4" ht="14.25" customHeight="1" x14ac:dyDescent="0.2">
      <c r="A263" s="82"/>
      <c r="B263" s="83" t="e">
        <f t="shared" si="0"/>
        <v>#REF!</v>
      </c>
      <c r="C263" s="96" t="e">
        <f t="shared" si="1"/>
        <v>#REF!</v>
      </c>
      <c r="D263" s="87"/>
    </row>
    <row r="264" spans="1:4" ht="14.25" customHeight="1" x14ac:dyDescent="0.2">
      <c r="A264" s="82"/>
      <c r="B264" s="83" t="e">
        <f t="shared" si="0"/>
        <v>#REF!</v>
      </c>
      <c r="C264" s="96" t="e">
        <f t="shared" si="1"/>
        <v>#REF!</v>
      </c>
      <c r="D264" s="87"/>
    </row>
    <row r="265" spans="1:4" ht="14.25" customHeight="1" x14ac:dyDescent="0.2">
      <c r="A265" s="82"/>
      <c r="B265" s="83" t="e">
        <f t="shared" si="0"/>
        <v>#REF!</v>
      </c>
      <c r="C265" s="96" t="e">
        <f t="shared" si="1"/>
        <v>#REF!</v>
      </c>
      <c r="D265" s="87"/>
    </row>
    <row r="266" spans="1:4" ht="14.25" customHeight="1" x14ac:dyDescent="0.2">
      <c r="A266" s="82"/>
      <c r="B266" s="83" t="e">
        <f t="shared" si="0"/>
        <v>#REF!</v>
      </c>
      <c r="C266" s="96" t="e">
        <f t="shared" si="1"/>
        <v>#REF!</v>
      </c>
      <c r="D266" s="87"/>
    </row>
    <row r="267" spans="1:4" ht="14.25" customHeight="1" x14ac:dyDescent="0.2">
      <c r="A267" s="82"/>
      <c r="B267" s="83" t="e">
        <f t="shared" si="0"/>
        <v>#REF!</v>
      </c>
      <c r="C267" s="96" t="e">
        <f t="shared" si="1"/>
        <v>#REF!</v>
      </c>
      <c r="D267" s="87"/>
    </row>
    <row r="268" spans="1:4" ht="14.25" customHeight="1" x14ac:dyDescent="0.2">
      <c r="A268" s="82"/>
      <c r="B268" s="83" t="e">
        <f t="shared" si="0"/>
        <v>#REF!</v>
      </c>
      <c r="C268" s="96" t="e">
        <f t="shared" si="1"/>
        <v>#REF!</v>
      </c>
      <c r="D268" s="87"/>
    </row>
    <row r="269" spans="1:4" ht="14.25" customHeight="1" x14ac:dyDescent="0.2">
      <c r="A269" s="82"/>
      <c r="B269" s="83" t="e">
        <f t="shared" si="0"/>
        <v>#REF!</v>
      </c>
      <c r="C269" s="96" t="e">
        <f t="shared" si="1"/>
        <v>#REF!</v>
      </c>
      <c r="D269" s="87"/>
    </row>
    <row r="270" spans="1:4" ht="14.25" customHeight="1" x14ac:dyDescent="0.2">
      <c r="A270" s="82"/>
      <c r="B270" s="83" t="e">
        <f t="shared" si="0"/>
        <v>#REF!</v>
      </c>
      <c r="C270" s="96" t="e">
        <f t="shared" si="1"/>
        <v>#REF!</v>
      </c>
      <c r="D270" s="87"/>
    </row>
    <row r="271" spans="1:4" ht="14.25" customHeight="1" x14ac:dyDescent="0.2">
      <c r="A271" s="82"/>
      <c r="B271" s="83" t="e">
        <f t="shared" si="0"/>
        <v>#REF!</v>
      </c>
      <c r="C271" s="96" t="e">
        <f t="shared" si="1"/>
        <v>#REF!</v>
      </c>
      <c r="D271" s="87"/>
    </row>
    <row r="272" spans="1:4" ht="14.25" customHeight="1" x14ac:dyDescent="0.2">
      <c r="A272" s="82"/>
      <c r="B272" s="83" t="e">
        <f t="shared" si="0"/>
        <v>#REF!</v>
      </c>
      <c r="C272" s="96" t="e">
        <f t="shared" si="1"/>
        <v>#REF!</v>
      </c>
      <c r="D272" s="87"/>
    </row>
    <row r="273" spans="1:4" ht="14.25" customHeight="1" x14ac:dyDescent="0.2">
      <c r="A273" s="82"/>
      <c r="B273" s="83" t="e">
        <f t="shared" si="0"/>
        <v>#REF!</v>
      </c>
      <c r="C273" s="96" t="e">
        <f t="shared" si="1"/>
        <v>#REF!</v>
      </c>
      <c r="D273" s="87"/>
    </row>
    <row r="274" spans="1:4" ht="14.25" customHeight="1" x14ac:dyDescent="0.2">
      <c r="A274" s="82"/>
      <c r="B274" s="83" t="e">
        <f t="shared" si="0"/>
        <v>#REF!</v>
      </c>
      <c r="C274" s="96" t="e">
        <f t="shared" si="1"/>
        <v>#REF!</v>
      </c>
      <c r="D274" s="87"/>
    </row>
    <row r="275" spans="1:4" ht="14.25" customHeight="1" x14ac:dyDescent="0.2">
      <c r="A275" s="82"/>
      <c r="B275" s="83" t="e">
        <f t="shared" si="0"/>
        <v>#REF!</v>
      </c>
      <c r="C275" s="96" t="e">
        <f t="shared" si="1"/>
        <v>#REF!</v>
      </c>
      <c r="D275" s="87"/>
    </row>
    <row r="276" spans="1:4" ht="14.25" customHeight="1" x14ac:dyDescent="0.2">
      <c r="A276" s="82"/>
      <c r="B276" s="83" t="e">
        <f t="shared" si="0"/>
        <v>#REF!</v>
      </c>
      <c r="C276" s="96" t="e">
        <f t="shared" si="1"/>
        <v>#REF!</v>
      </c>
      <c r="D276" s="87"/>
    </row>
    <row r="277" spans="1:4" ht="14.25" customHeight="1" x14ac:dyDescent="0.2">
      <c r="A277" s="82"/>
      <c r="B277" s="83" t="e">
        <f t="shared" si="0"/>
        <v>#REF!</v>
      </c>
      <c r="C277" s="96" t="e">
        <f t="shared" si="1"/>
        <v>#REF!</v>
      </c>
      <c r="D277" s="87"/>
    </row>
    <row r="278" spans="1:4" ht="14.25" customHeight="1" x14ac:dyDescent="0.2">
      <c r="A278" s="82"/>
      <c r="B278" s="83" t="e">
        <f t="shared" si="0"/>
        <v>#REF!</v>
      </c>
      <c r="C278" s="96" t="e">
        <f t="shared" si="1"/>
        <v>#REF!</v>
      </c>
      <c r="D278" s="87"/>
    </row>
    <row r="279" spans="1:4" ht="14.25" customHeight="1" x14ac:dyDescent="0.2">
      <c r="A279" s="82"/>
      <c r="B279" s="83" t="e">
        <f t="shared" si="0"/>
        <v>#REF!</v>
      </c>
      <c r="C279" s="96" t="e">
        <f t="shared" si="1"/>
        <v>#REF!</v>
      </c>
      <c r="D279" s="87"/>
    </row>
    <row r="280" spans="1:4" ht="14.25" customHeight="1" x14ac:dyDescent="0.2">
      <c r="A280" s="82"/>
      <c r="B280" s="83" t="e">
        <f t="shared" si="0"/>
        <v>#REF!</v>
      </c>
      <c r="C280" s="96" t="e">
        <f t="shared" si="1"/>
        <v>#REF!</v>
      </c>
      <c r="D280" s="87"/>
    </row>
    <row r="281" spans="1:4" ht="14.25" customHeight="1" x14ac:dyDescent="0.2">
      <c r="A281" s="82"/>
      <c r="B281" s="83" t="e">
        <f t="shared" si="0"/>
        <v>#REF!</v>
      </c>
      <c r="C281" s="96" t="e">
        <f t="shared" si="1"/>
        <v>#REF!</v>
      </c>
      <c r="D281" s="87"/>
    </row>
    <row r="282" spans="1:4" ht="14.25" customHeight="1" x14ac:dyDescent="0.2">
      <c r="A282" s="82"/>
      <c r="B282" s="83" t="e">
        <f t="shared" si="0"/>
        <v>#REF!</v>
      </c>
      <c r="C282" s="96" t="e">
        <f t="shared" si="1"/>
        <v>#REF!</v>
      </c>
      <c r="D282" s="87"/>
    </row>
    <row r="283" spans="1:4" ht="14.25" customHeight="1" x14ac:dyDescent="0.2">
      <c r="A283" s="82"/>
      <c r="B283" s="83" t="e">
        <f t="shared" si="0"/>
        <v>#REF!</v>
      </c>
      <c r="C283" s="96" t="e">
        <f t="shared" si="1"/>
        <v>#REF!</v>
      </c>
      <c r="D283" s="87"/>
    </row>
    <row r="284" spans="1:4" ht="14.25" customHeight="1" x14ac:dyDescent="0.2">
      <c r="A284" s="82"/>
      <c r="B284" s="83" t="e">
        <f t="shared" si="0"/>
        <v>#REF!</v>
      </c>
      <c r="C284" s="96" t="e">
        <f t="shared" si="1"/>
        <v>#REF!</v>
      </c>
      <c r="D284" s="87"/>
    </row>
    <row r="285" spans="1:4" ht="14.25" customHeight="1" x14ac:dyDescent="0.2">
      <c r="A285" s="82"/>
      <c r="B285" s="83" t="e">
        <f t="shared" si="0"/>
        <v>#REF!</v>
      </c>
      <c r="C285" s="96" t="e">
        <f t="shared" si="1"/>
        <v>#REF!</v>
      </c>
      <c r="D285" s="87"/>
    </row>
    <row r="286" spans="1:4" ht="14.25" customHeight="1" x14ac:dyDescent="0.2">
      <c r="A286" s="82"/>
      <c r="B286" s="83" t="e">
        <f t="shared" si="0"/>
        <v>#REF!</v>
      </c>
      <c r="C286" s="96" t="e">
        <f t="shared" si="1"/>
        <v>#REF!</v>
      </c>
      <c r="D286" s="87"/>
    </row>
    <row r="287" spans="1:4" ht="14.25" customHeight="1" x14ac:dyDescent="0.2">
      <c r="A287" s="82"/>
      <c r="B287" s="83" t="e">
        <f t="shared" si="0"/>
        <v>#REF!</v>
      </c>
      <c r="C287" s="96" t="e">
        <f t="shared" si="1"/>
        <v>#REF!</v>
      </c>
      <c r="D287" s="87"/>
    </row>
    <row r="288" spans="1:4" ht="14.25" customHeight="1" x14ac:dyDescent="0.2">
      <c r="A288" s="82"/>
      <c r="B288" s="83" t="e">
        <f t="shared" si="0"/>
        <v>#REF!</v>
      </c>
      <c r="C288" s="96" t="e">
        <f t="shared" si="1"/>
        <v>#REF!</v>
      </c>
      <c r="D288" s="87"/>
    </row>
    <row r="289" spans="1:4" ht="14.25" customHeight="1" x14ac:dyDescent="0.2">
      <c r="A289" s="82"/>
      <c r="B289" s="83" t="e">
        <f t="shared" si="0"/>
        <v>#REF!</v>
      </c>
      <c r="C289" s="96" t="e">
        <f t="shared" si="1"/>
        <v>#REF!</v>
      </c>
      <c r="D289" s="87"/>
    </row>
    <row r="290" spans="1:4" ht="14.25" customHeight="1" x14ac:dyDescent="0.2">
      <c r="A290" s="82"/>
      <c r="B290" s="83" t="e">
        <f t="shared" si="0"/>
        <v>#REF!</v>
      </c>
      <c r="C290" s="96" t="e">
        <f t="shared" si="1"/>
        <v>#REF!</v>
      </c>
      <c r="D290" s="87"/>
    </row>
    <row r="291" spans="1:4" ht="14.25" customHeight="1" x14ac:dyDescent="0.2">
      <c r="A291" s="82"/>
      <c r="B291" s="83" t="e">
        <f t="shared" si="0"/>
        <v>#REF!</v>
      </c>
      <c r="C291" s="96" t="e">
        <f t="shared" si="1"/>
        <v>#REF!</v>
      </c>
      <c r="D291" s="87"/>
    </row>
    <row r="292" spans="1:4" ht="14.25" customHeight="1" x14ac:dyDescent="0.2">
      <c r="A292" s="82"/>
      <c r="B292" s="83" t="e">
        <f t="shared" si="0"/>
        <v>#REF!</v>
      </c>
      <c r="C292" s="96" t="e">
        <f t="shared" si="1"/>
        <v>#REF!</v>
      </c>
      <c r="D292" s="87"/>
    </row>
    <row r="293" spans="1:4" ht="14.25" customHeight="1" x14ac:dyDescent="0.2">
      <c r="A293" s="82"/>
      <c r="B293" s="83" t="e">
        <f t="shared" si="0"/>
        <v>#REF!</v>
      </c>
      <c r="C293" s="96" t="e">
        <f t="shared" si="1"/>
        <v>#REF!</v>
      </c>
      <c r="D293" s="87"/>
    </row>
    <row r="294" spans="1:4" ht="14.25" customHeight="1" x14ac:dyDescent="0.2">
      <c r="A294" s="82"/>
      <c r="B294" s="83" t="e">
        <f t="shared" si="0"/>
        <v>#REF!</v>
      </c>
      <c r="C294" s="96" t="e">
        <f t="shared" si="1"/>
        <v>#REF!</v>
      </c>
      <c r="D294" s="87"/>
    </row>
    <row r="295" spans="1:4" ht="14.25" customHeight="1" x14ac:dyDescent="0.2">
      <c r="A295" s="82"/>
      <c r="B295" s="83" t="e">
        <f t="shared" si="0"/>
        <v>#REF!</v>
      </c>
      <c r="C295" s="96" t="e">
        <f t="shared" si="1"/>
        <v>#REF!</v>
      </c>
      <c r="D295" s="87"/>
    </row>
    <row r="296" spans="1:4" ht="14.25" customHeight="1" x14ac:dyDescent="0.2">
      <c r="A296" s="82"/>
      <c r="B296" s="83" t="e">
        <f t="shared" si="0"/>
        <v>#REF!</v>
      </c>
      <c r="C296" s="96" t="e">
        <f t="shared" si="1"/>
        <v>#REF!</v>
      </c>
      <c r="D296" s="87"/>
    </row>
    <row r="297" spans="1:4" ht="14.25" customHeight="1" x14ac:dyDescent="0.2">
      <c r="A297" s="82"/>
      <c r="B297" s="83" t="e">
        <f t="shared" si="0"/>
        <v>#REF!</v>
      </c>
      <c r="C297" s="96" t="e">
        <f t="shared" si="1"/>
        <v>#REF!</v>
      </c>
      <c r="D297" s="87"/>
    </row>
    <row r="298" spans="1:4" ht="14.25" customHeight="1" x14ac:dyDescent="0.2">
      <c r="A298" s="82"/>
      <c r="B298" s="83" t="e">
        <f t="shared" si="0"/>
        <v>#REF!</v>
      </c>
      <c r="C298" s="96" t="e">
        <f t="shared" si="1"/>
        <v>#REF!</v>
      </c>
      <c r="D298" s="87"/>
    </row>
    <row r="299" spans="1:4" ht="14.25" customHeight="1" x14ac:dyDescent="0.2">
      <c r="A299" s="82"/>
      <c r="B299" s="83" t="e">
        <f t="shared" si="0"/>
        <v>#REF!</v>
      </c>
      <c r="C299" s="96" t="e">
        <f t="shared" si="1"/>
        <v>#REF!</v>
      </c>
      <c r="D299" s="87"/>
    </row>
    <row r="300" spans="1:4" ht="14.25" customHeight="1" x14ac:dyDescent="0.2">
      <c r="A300" s="82"/>
      <c r="B300" s="83" t="e">
        <f t="shared" si="0"/>
        <v>#REF!</v>
      </c>
      <c r="C300" s="96" t="e">
        <f t="shared" si="1"/>
        <v>#REF!</v>
      </c>
      <c r="D300" s="87"/>
    </row>
    <row r="301" spans="1:4" ht="14.25" customHeight="1" x14ac:dyDescent="0.2">
      <c r="A301" s="82"/>
      <c r="B301" s="83" t="e">
        <f t="shared" si="0"/>
        <v>#REF!</v>
      </c>
      <c r="C301" s="96" t="e">
        <f t="shared" si="1"/>
        <v>#REF!</v>
      </c>
      <c r="D301" s="87"/>
    </row>
    <row r="302" spans="1:4" ht="14.25" customHeight="1" x14ac:dyDescent="0.2">
      <c r="A302" s="82"/>
      <c r="B302" s="83" t="e">
        <f t="shared" si="0"/>
        <v>#REF!</v>
      </c>
      <c r="C302" s="96" t="e">
        <f t="shared" si="1"/>
        <v>#REF!</v>
      </c>
      <c r="D302" s="87"/>
    </row>
    <row r="303" spans="1:4" ht="14.25" customHeight="1" x14ac:dyDescent="0.2">
      <c r="A303" s="82"/>
      <c r="B303" s="83" t="e">
        <f t="shared" si="0"/>
        <v>#REF!</v>
      </c>
      <c r="C303" s="96" t="e">
        <f t="shared" si="1"/>
        <v>#REF!</v>
      </c>
      <c r="D303" s="87"/>
    </row>
    <row r="304" spans="1:4" ht="14.25" customHeight="1" x14ac:dyDescent="0.2">
      <c r="A304" s="82"/>
      <c r="B304" s="83" t="e">
        <f t="shared" si="0"/>
        <v>#REF!</v>
      </c>
      <c r="C304" s="96" t="e">
        <f t="shared" si="1"/>
        <v>#REF!</v>
      </c>
      <c r="D304" s="87"/>
    </row>
    <row r="305" spans="1:4" ht="14.25" customHeight="1" x14ac:dyDescent="0.2">
      <c r="A305" s="82"/>
      <c r="B305" s="83" t="e">
        <f t="shared" si="0"/>
        <v>#REF!</v>
      </c>
      <c r="C305" s="96" t="e">
        <f t="shared" si="1"/>
        <v>#REF!</v>
      </c>
      <c r="D305" s="87"/>
    </row>
    <row r="306" spans="1:4" ht="14.25" customHeight="1" x14ac:dyDescent="0.2">
      <c r="A306" s="82"/>
      <c r="B306" s="83" t="e">
        <f t="shared" si="0"/>
        <v>#REF!</v>
      </c>
      <c r="C306" s="96" t="e">
        <f t="shared" si="1"/>
        <v>#REF!</v>
      </c>
      <c r="D306" s="87"/>
    </row>
    <row r="307" spans="1:4" ht="14.25" customHeight="1" x14ac:dyDescent="0.2">
      <c r="A307" s="82"/>
      <c r="B307" s="83" t="e">
        <f t="shared" si="0"/>
        <v>#REF!</v>
      </c>
      <c r="C307" s="96" t="e">
        <f t="shared" si="1"/>
        <v>#REF!</v>
      </c>
      <c r="D307" s="87"/>
    </row>
    <row r="308" spans="1:4" ht="14.25" customHeight="1" x14ac:dyDescent="0.2">
      <c r="A308" s="82"/>
      <c r="B308" s="83" t="e">
        <f t="shared" si="0"/>
        <v>#REF!</v>
      </c>
      <c r="C308" s="96" t="e">
        <f t="shared" si="1"/>
        <v>#REF!</v>
      </c>
      <c r="D308" s="87"/>
    </row>
    <row r="309" spans="1:4" ht="14.25" customHeight="1" x14ac:dyDescent="0.2">
      <c r="A309" s="82"/>
      <c r="B309" s="83" t="e">
        <f t="shared" si="0"/>
        <v>#REF!</v>
      </c>
      <c r="C309" s="96" t="e">
        <f t="shared" si="1"/>
        <v>#REF!</v>
      </c>
      <c r="D309" s="87"/>
    </row>
    <row r="310" spans="1:4" ht="14.25" customHeight="1" x14ac:dyDescent="0.2">
      <c r="A310" s="82"/>
      <c r="B310" s="83" t="e">
        <f t="shared" si="0"/>
        <v>#REF!</v>
      </c>
      <c r="C310" s="96" t="e">
        <f t="shared" si="1"/>
        <v>#REF!</v>
      </c>
      <c r="D310" s="87"/>
    </row>
    <row r="311" spans="1:4" ht="14.25" customHeight="1" x14ac:dyDescent="0.2">
      <c r="A311" s="82"/>
      <c r="B311" s="83" t="e">
        <f t="shared" si="0"/>
        <v>#REF!</v>
      </c>
      <c r="C311" s="96" t="e">
        <f t="shared" si="1"/>
        <v>#REF!</v>
      </c>
      <c r="D311" s="87"/>
    </row>
    <row r="312" spans="1:4" ht="14.25" customHeight="1" x14ac:dyDescent="0.2">
      <c r="A312" s="82"/>
      <c r="B312" s="83" t="e">
        <f t="shared" si="0"/>
        <v>#REF!</v>
      </c>
      <c r="C312" s="96" t="e">
        <f t="shared" si="1"/>
        <v>#REF!</v>
      </c>
      <c r="D312" s="87"/>
    </row>
    <row r="313" spans="1:4" ht="14.25" customHeight="1" x14ac:dyDescent="0.2">
      <c r="A313" s="82"/>
      <c r="B313" s="83" t="e">
        <f t="shared" si="0"/>
        <v>#REF!</v>
      </c>
      <c r="C313" s="96" t="e">
        <f t="shared" si="1"/>
        <v>#REF!</v>
      </c>
      <c r="D313" s="87"/>
    </row>
    <row r="314" spans="1:4" ht="14.25" customHeight="1" x14ac:dyDescent="0.2">
      <c r="A314" s="82"/>
      <c r="B314" s="83" t="e">
        <f t="shared" si="0"/>
        <v>#REF!</v>
      </c>
      <c r="C314" s="96" t="e">
        <f t="shared" si="1"/>
        <v>#REF!</v>
      </c>
      <c r="D314" s="87"/>
    </row>
    <row r="315" spans="1:4" ht="14.25" customHeight="1" x14ac:dyDescent="0.2">
      <c r="A315" s="82"/>
      <c r="B315" s="83" t="e">
        <f t="shared" si="0"/>
        <v>#REF!</v>
      </c>
      <c r="C315" s="96" t="e">
        <f t="shared" si="1"/>
        <v>#REF!</v>
      </c>
      <c r="D315" s="87"/>
    </row>
    <row r="316" spans="1:4" ht="14.25" customHeight="1" x14ac:dyDescent="0.2">
      <c r="A316" s="82"/>
      <c r="B316" s="83" t="e">
        <f t="shared" si="0"/>
        <v>#REF!</v>
      </c>
      <c r="C316" s="96" t="e">
        <f t="shared" si="1"/>
        <v>#REF!</v>
      </c>
      <c r="D316" s="87"/>
    </row>
    <row r="317" spans="1:4" ht="14.25" customHeight="1" x14ac:dyDescent="0.2">
      <c r="A317" s="82"/>
      <c r="B317" s="83" t="e">
        <f t="shared" si="0"/>
        <v>#REF!</v>
      </c>
      <c r="C317" s="96" t="e">
        <f t="shared" si="1"/>
        <v>#REF!</v>
      </c>
      <c r="D317" s="87"/>
    </row>
    <row r="318" spans="1:4" ht="14.25" customHeight="1" x14ac:dyDescent="0.2">
      <c r="A318" s="82"/>
      <c r="B318" s="83" t="e">
        <f t="shared" si="0"/>
        <v>#REF!</v>
      </c>
      <c r="C318" s="96" t="e">
        <f t="shared" si="1"/>
        <v>#REF!</v>
      </c>
      <c r="D318" s="87"/>
    </row>
    <row r="319" spans="1:4" ht="14.25" customHeight="1" x14ac:dyDescent="0.2">
      <c r="A319" s="82"/>
      <c r="B319" s="83" t="e">
        <f t="shared" si="0"/>
        <v>#REF!</v>
      </c>
      <c r="C319" s="96" t="e">
        <f t="shared" si="1"/>
        <v>#REF!</v>
      </c>
      <c r="D319" s="87"/>
    </row>
    <row r="320" spans="1:4" ht="14.25" customHeight="1" x14ac:dyDescent="0.2">
      <c r="A320" s="82"/>
      <c r="B320" s="83" t="e">
        <f t="shared" si="0"/>
        <v>#REF!</v>
      </c>
      <c r="C320" s="96" t="e">
        <f t="shared" si="1"/>
        <v>#REF!</v>
      </c>
      <c r="D320" s="87"/>
    </row>
    <row r="321" spans="1:4" ht="14.25" customHeight="1" x14ac:dyDescent="0.2">
      <c r="A321" s="82"/>
      <c r="B321" s="83" t="e">
        <f t="shared" si="0"/>
        <v>#REF!</v>
      </c>
      <c r="C321" s="96" t="e">
        <f t="shared" si="1"/>
        <v>#REF!</v>
      </c>
      <c r="D321" s="87"/>
    </row>
    <row r="322" spans="1:4" ht="14.25" customHeight="1" x14ac:dyDescent="0.2">
      <c r="A322" s="82"/>
      <c r="B322" s="83" t="e">
        <f t="shared" si="0"/>
        <v>#REF!</v>
      </c>
      <c r="C322" s="96" t="e">
        <f t="shared" si="1"/>
        <v>#REF!</v>
      </c>
      <c r="D322" s="87"/>
    </row>
    <row r="323" spans="1:4" ht="14.25" customHeight="1" x14ac:dyDescent="0.2">
      <c r="A323" s="82"/>
      <c r="B323" s="83" t="e">
        <f t="shared" si="0"/>
        <v>#REF!</v>
      </c>
      <c r="C323" s="96" t="e">
        <f t="shared" si="1"/>
        <v>#REF!</v>
      </c>
      <c r="D323" s="87"/>
    </row>
    <row r="324" spans="1:4" ht="14.25" customHeight="1" x14ac:dyDescent="0.2">
      <c r="A324" s="82"/>
      <c r="B324" s="83" t="e">
        <f t="shared" si="0"/>
        <v>#REF!</v>
      </c>
      <c r="C324" s="96" t="e">
        <f t="shared" si="1"/>
        <v>#REF!</v>
      </c>
      <c r="D324" s="87"/>
    </row>
    <row r="325" spans="1:4" ht="14.25" customHeight="1" x14ac:dyDescent="0.2">
      <c r="A325" s="82"/>
      <c r="B325" s="83" t="e">
        <f t="shared" si="0"/>
        <v>#REF!</v>
      </c>
      <c r="C325" s="96" t="e">
        <f t="shared" si="1"/>
        <v>#REF!</v>
      </c>
      <c r="D325" s="87"/>
    </row>
    <row r="326" spans="1:4" ht="14.25" customHeight="1" x14ac:dyDescent="0.2">
      <c r="A326" s="82"/>
      <c r="B326" s="83" t="e">
        <f t="shared" si="0"/>
        <v>#REF!</v>
      </c>
      <c r="C326" s="96" t="e">
        <f t="shared" si="1"/>
        <v>#REF!</v>
      </c>
      <c r="D326" s="87"/>
    </row>
    <row r="327" spans="1:4" ht="14.25" customHeight="1" x14ac:dyDescent="0.2">
      <c r="A327" s="82"/>
      <c r="B327" s="83" t="e">
        <f t="shared" si="0"/>
        <v>#REF!</v>
      </c>
      <c r="C327" s="96" t="e">
        <f t="shared" si="1"/>
        <v>#REF!</v>
      </c>
      <c r="D327" s="87"/>
    </row>
    <row r="328" spans="1:4" ht="14.25" customHeight="1" x14ac:dyDescent="0.2">
      <c r="A328" s="82"/>
      <c r="B328" s="83" t="e">
        <f t="shared" si="0"/>
        <v>#REF!</v>
      </c>
      <c r="C328" s="96" t="e">
        <f t="shared" si="1"/>
        <v>#REF!</v>
      </c>
      <c r="D328" s="87"/>
    </row>
    <row r="329" spans="1:4" ht="14.25" customHeight="1" x14ac:dyDescent="0.2">
      <c r="A329" s="82"/>
      <c r="B329" s="83" t="e">
        <f t="shared" si="0"/>
        <v>#REF!</v>
      </c>
      <c r="C329" s="96" t="e">
        <f t="shared" si="1"/>
        <v>#REF!</v>
      </c>
      <c r="D329" s="87"/>
    </row>
    <row r="330" spans="1:4" ht="14.25" customHeight="1" x14ac:dyDescent="0.2">
      <c r="A330" s="82"/>
      <c r="B330" s="83" t="e">
        <f t="shared" si="0"/>
        <v>#REF!</v>
      </c>
      <c r="C330" s="96" t="e">
        <f t="shared" si="1"/>
        <v>#REF!</v>
      </c>
      <c r="D330" s="87"/>
    </row>
    <row r="331" spans="1:4" ht="14.25" customHeight="1" x14ac:dyDescent="0.2">
      <c r="A331" s="82"/>
      <c r="B331" s="83" t="e">
        <f t="shared" si="0"/>
        <v>#REF!</v>
      </c>
      <c r="C331" s="96" t="e">
        <f t="shared" si="1"/>
        <v>#REF!</v>
      </c>
      <c r="D331" s="87"/>
    </row>
    <row r="332" spans="1:4" ht="14.25" customHeight="1" x14ac:dyDescent="0.2">
      <c r="A332" s="82"/>
      <c r="B332" s="83" t="e">
        <f t="shared" si="0"/>
        <v>#REF!</v>
      </c>
      <c r="C332" s="96" t="e">
        <f t="shared" si="1"/>
        <v>#REF!</v>
      </c>
      <c r="D332" s="87"/>
    </row>
    <row r="333" spans="1:4" ht="14.25" customHeight="1" x14ac:dyDescent="0.2">
      <c r="A333" s="82"/>
      <c r="B333" s="83" t="e">
        <f t="shared" si="0"/>
        <v>#REF!</v>
      </c>
      <c r="C333" s="96" t="e">
        <f t="shared" si="1"/>
        <v>#REF!</v>
      </c>
      <c r="D333" s="87"/>
    </row>
    <row r="334" spans="1:4" ht="14.25" customHeight="1" x14ac:dyDescent="0.2">
      <c r="A334" s="82"/>
      <c r="B334" s="83" t="e">
        <f t="shared" si="0"/>
        <v>#REF!</v>
      </c>
      <c r="C334" s="96" t="e">
        <f t="shared" si="1"/>
        <v>#REF!</v>
      </c>
      <c r="D334" s="87"/>
    </row>
    <row r="335" spans="1:4" ht="14.25" customHeight="1" x14ac:dyDescent="0.2">
      <c r="A335" s="82"/>
      <c r="B335" s="83" t="e">
        <f t="shared" si="0"/>
        <v>#REF!</v>
      </c>
      <c r="C335" s="96" t="e">
        <f t="shared" si="1"/>
        <v>#REF!</v>
      </c>
      <c r="D335" s="87"/>
    </row>
    <row r="336" spans="1:4" ht="14.25" customHeight="1" x14ac:dyDescent="0.2">
      <c r="A336" s="82"/>
      <c r="B336" s="83" t="e">
        <f t="shared" si="0"/>
        <v>#REF!</v>
      </c>
      <c r="C336" s="96" t="e">
        <f t="shared" si="1"/>
        <v>#REF!</v>
      </c>
      <c r="D336" s="87"/>
    </row>
    <row r="337" spans="1:4" ht="14.25" customHeight="1" x14ac:dyDescent="0.2">
      <c r="A337" s="82"/>
      <c r="B337" s="83" t="e">
        <f t="shared" si="0"/>
        <v>#REF!</v>
      </c>
      <c r="C337" s="96" t="e">
        <f t="shared" si="1"/>
        <v>#REF!</v>
      </c>
      <c r="D337" s="87"/>
    </row>
    <row r="338" spans="1:4" ht="14.25" customHeight="1" x14ac:dyDescent="0.2">
      <c r="A338" s="82"/>
      <c r="B338" s="83" t="e">
        <f t="shared" si="0"/>
        <v>#REF!</v>
      </c>
      <c r="C338" s="96" t="e">
        <f t="shared" si="1"/>
        <v>#REF!</v>
      </c>
      <c r="D338" s="87"/>
    </row>
    <row r="339" spans="1:4" ht="14.25" customHeight="1" x14ac:dyDescent="0.2">
      <c r="A339" s="82"/>
      <c r="B339" s="83" t="e">
        <f t="shared" si="0"/>
        <v>#REF!</v>
      </c>
      <c r="C339" s="96" t="e">
        <f t="shared" si="1"/>
        <v>#REF!</v>
      </c>
      <c r="D339" s="87"/>
    </row>
    <row r="340" spans="1:4" ht="14.25" customHeight="1" x14ac:dyDescent="0.2">
      <c r="A340" s="82"/>
      <c r="B340" s="83" t="e">
        <f t="shared" si="0"/>
        <v>#REF!</v>
      </c>
      <c r="C340" s="96" t="e">
        <f t="shared" si="1"/>
        <v>#REF!</v>
      </c>
      <c r="D340" s="87"/>
    </row>
    <row r="341" spans="1:4" ht="14.25" customHeight="1" x14ac:dyDescent="0.2">
      <c r="A341" s="82"/>
      <c r="B341" s="83" t="e">
        <f t="shared" si="0"/>
        <v>#REF!</v>
      </c>
      <c r="C341" s="96" t="e">
        <f t="shared" si="1"/>
        <v>#REF!</v>
      </c>
      <c r="D341" s="87"/>
    </row>
    <row r="342" spans="1:4" ht="14.25" customHeight="1" x14ac:dyDescent="0.2">
      <c r="A342" s="82"/>
      <c r="B342" s="83" t="e">
        <f t="shared" si="0"/>
        <v>#REF!</v>
      </c>
      <c r="C342" s="96" t="e">
        <f t="shared" si="1"/>
        <v>#REF!</v>
      </c>
      <c r="D342" s="87"/>
    </row>
    <row r="343" spans="1:4" ht="14.25" customHeight="1" x14ac:dyDescent="0.2">
      <c r="A343" s="82"/>
      <c r="B343" s="83" t="e">
        <f t="shared" si="0"/>
        <v>#REF!</v>
      </c>
      <c r="C343" s="96" t="e">
        <f t="shared" si="1"/>
        <v>#REF!</v>
      </c>
      <c r="D343" s="87"/>
    </row>
    <row r="344" spans="1:4" ht="14.25" customHeight="1" x14ac:dyDescent="0.2">
      <c r="A344" s="82"/>
      <c r="B344" s="83" t="e">
        <f t="shared" si="0"/>
        <v>#REF!</v>
      </c>
      <c r="C344" s="96" t="e">
        <f t="shared" si="1"/>
        <v>#REF!</v>
      </c>
      <c r="D344" s="87"/>
    </row>
    <row r="345" spans="1:4" ht="14.25" customHeight="1" x14ac:dyDescent="0.2">
      <c r="A345" s="82"/>
      <c r="B345" s="83" t="e">
        <f t="shared" si="0"/>
        <v>#REF!</v>
      </c>
      <c r="C345" s="96" t="e">
        <f t="shared" si="1"/>
        <v>#REF!</v>
      </c>
      <c r="D345" s="87"/>
    </row>
    <row r="346" spans="1:4" ht="14.25" customHeight="1" x14ac:dyDescent="0.2">
      <c r="A346" s="82"/>
      <c r="B346" s="83" t="e">
        <f t="shared" si="0"/>
        <v>#REF!</v>
      </c>
      <c r="C346" s="96" t="e">
        <f t="shared" si="1"/>
        <v>#REF!</v>
      </c>
      <c r="D346" s="87"/>
    </row>
    <row r="347" spans="1:4" ht="14.25" customHeight="1" x14ac:dyDescent="0.2">
      <c r="A347" s="82"/>
      <c r="B347" s="83" t="e">
        <f t="shared" si="0"/>
        <v>#REF!</v>
      </c>
      <c r="C347" s="96" t="e">
        <f t="shared" si="1"/>
        <v>#REF!</v>
      </c>
      <c r="D347" s="87"/>
    </row>
    <row r="348" spans="1:4" ht="14.25" customHeight="1" x14ac:dyDescent="0.2">
      <c r="A348" s="82"/>
      <c r="B348" s="83" t="e">
        <f t="shared" si="0"/>
        <v>#REF!</v>
      </c>
      <c r="C348" s="96" t="e">
        <f t="shared" si="1"/>
        <v>#REF!</v>
      </c>
      <c r="D348" s="87"/>
    </row>
    <row r="349" spans="1:4" ht="14.25" customHeight="1" x14ac:dyDescent="0.2">
      <c r="A349" s="82"/>
      <c r="B349" s="83" t="e">
        <f t="shared" si="0"/>
        <v>#REF!</v>
      </c>
      <c r="C349" s="96" t="e">
        <f t="shared" si="1"/>
        <v>#REF!</v>
      </c>
      <c r="D349" s="87"/>
    </row>
    <row r="350" spans="1:4" ht="14.25" customHeight="1" x14ac:dyDescent="0.2">
      <c r="A350" s="82"/>
      <c r="B350" s="83" t="e">
        <f t="shared" si="0"/>
        <v>#REF!</v>
      </c>
      <c r="C350" s="96" t="e">
        <f t="shared" si="1"/>
        <v>#REF!</v>
      </c>
      <c r="D350" s="87"/>
    </row>
    <row r="351" spans="1:4" ht="14.25" customHeight="1" x14ac:dyDescent="0.2">
      <c r="A351" s="82"/>
      <c r="B351" s="83" t="e">
        <f t="shared" si="0"/>
        <v>#REF!</v>
      </c>
      <c r="C351" s="96" t="e">
        <f t="shared" si="1"/>
        <v>#REF!</v>
      </c>
      <c r="D351" s="87"/>
    </row>
    <row r="352" spans="1:4" ht="14.25" customHeight="1" x14ac:dyDescent="0.2">
      <c r="A352" s="82"/>
      <c r="B352" s="83" t="e">
        <f t="shared" si="0"/>
        <v>#REF!</v>
      </c>
      <c r="C352" s="96" t="e">
        <f t="shared" si="1"/>
        <v>#REF!</v>
      </c>
      <c r="D352" s="87"/>
    </row>
    <row r="353" spans="1:4" ht="14.25" customHeight="1" x14ac:dyDescent="0.2">
      <c r="A353" s="82"/>
      <c r="B353" s="83" t="e">
        <f t="shared" si="0"/>
        <v>#REF!</v>
      </c>
      <c r="C353" s="96" t="e">
        <f t="shared" si="1"/>
        <v>#REF!</v>
      </c>
      <c r="D353" s="87"/>
    </row>
    <row r="354" spans="1:4" ht="14.25" customHeight="1" x14ac:dyDescent="0.2">
      <c r="A354" s="82"/>
      <c r="B354" s="83" t="e">
        <f t="shared" si="0"/>
        <v>#REF!</v>
      </c>
      <c r="C354" s="96" t="e">
        <f t="shared" si="1"/>
        <v>#REF!</v>
      </c>
      <c r="D354" s="87"/>
    </row>
    <row r="355" spans="1:4" ht="14.25" customHeight="1" x14ac:dyDescent="0.2">
      <c r="A355" s="82"/>
      <c r="B355" s="83" t="e">
        <f t="shared" si="0"/>
        <v>#REF!</v>
      </c>
      <c r="C355" s="96" t="e">
        <f t="shared" si="1"/>
        <v>#REF!</v>
      </c>
      <c r="D355" s="87"/>
    </row>
    <row r="356" spans="1:4" ht="14.25" customHeight="1" x14ac:dyDescent="0.2">
      <c r="A356" s="82"/>
      <c r="B356" s="83" t="e">
        <f t="shared" si="0"/>
        <v>#REF!</v>
      </c>
      <c r="C356" s="96" t="e">
        <f t="shared" si="1"/>
        <v>#REF!</v>
      </c>
      <c r="D356" s="87"/>
    </row>
    <row r="357" spans="1:4" ht="14.25" customHeight="1" x14ac:dyDescent="0.2">
      <c r="A357" s="82"/>
      <c r="B357" s="83" t="e">
        <f t="shared" si="0"/>
        <v>#REF!</v>
      </c>
      <c r="C357" s="96" t="e">
        <f t="shared" si="1"/>
        <v>#REF!</v>
      </c>
      <c r="D357" s="87"/>
    </row>
    <row r="358" spans="1:4" ht="14.25" customHeight="1" x14ac:dyDescent="0.2">
      <c r="A358" s="82"/>
      <c r="B358" s="83" t="e">
        <f t="shared" si="0"/>
        <v>#REF!</v>
      </c>
      <c r="C358" s="96" t="e">
        <f t="shared" si="1"/>
        <v>#REF!</v>
      </c>
      <c r="D358" s="87"/>
    </row>
    <row r="359" spans="1:4" ht="14.25" customHeight="1" x14ac:dyDescent="0.2">
      <c r="A359" s="82"/>
      <c r="B359" s="83" t="e">
        <f t="shared" si="0"/>
        <v>#REF!</v>
      </c>
      <c r="C359" s="96" t="e">
        <f t="shared" si="1"/>
        <v>#REF!</v>
      </c>
      <c r="D359" s="87"/>
    </row>
    <row r="360" spans="1:4" ht="14.25" customHeight="1" x14ac:dyDescent="0.2">
      <c r="A360" s="82"/>
      <c r="B360" s="83" t="e">
        <f t="shared" si="0"/>
        <v>#REF!</v>
      </c>
      <c r="C360" s="96" t="e">
        <f t="shared" si="1"/>
        <v>#REF!</v>
      </c>
      <c r="D360" s="87"/>
    </row>
    <row r="361" spans="1:4" ht="14.25" customHeight="1" x14ac:dyDescent="0.2">
      <c r="A361" s="82"/>
      <c r="B361" s="83" t="e">
        <f t="shared" si="0"/>
        <v>#REF!</v>
      </c>
      <c r="C361" s="96" t="e">
        <f t="shared" si="1"/>
        <v>#REF!</v>
      </c>
      <c r="D361" s="87"/>
    </row>
    <row r="362" spans="1:4" ht="14.25" customHeight="1" x14ac:dyDescent="0.2">
      <c r="A362" s="82"/>
      <c r="B362" s="83" t="e">
        <f t="shared" si="0"/>
        <v>#REF!</v>
      </c>
      <c r="C362" s="96" t="e">
        <f t="shared" si="1"/>
        <v>#REF!</v>
      </c>
      <c r="D362" s="87"/>
    </row>
    <row r="363" spans="1:4" ht="14.25" customHeight="1" x14ac:dyDescent="0.2">
      <c r="A363" s="82"/>
      <c r="B363" s="83" t="e">
        <f t="shared" si="0"/>
        <v>#REF!</v>
      </c>
      <c r="C363" s="96" t="e">
        <f t="shared" si="1"/>
        <v>#REF!</v>
      </c>
      <c r="D363" s="87"/>
    </row>
    <row r="364" spans="1:4" ht="14.25" customHeight="1" x14ac:dyDescent="0.2">
      <c r="A364" s="82"/>
      <c r="B364" s="83" t="e">
        <f t="shared" si="0"/>
        <v>#REF!</v>
      </c>
      <c r="C364" s="96" t="e">
        <f t="shared" si="1"/>
        <v>#REF!</v>
      </c>
      <c r="D364" s="87"/>
    </row>
    <row r="365" spans="1:4" ht="14.25" customHeight="1" x14ac:dyDescent="0.2">
      <c r="A365" s="82"/>
      <c r="B365" s="83" t="e">
        <f t="shared" si="0"/>
        <v>#REF!</v>
      </c>
      <c r="C365" s="96" t="e">
        <f t="shared" si="1"/>
        <v>#REF!</v>
      </c>
      <c r="D365" s="87"/>
    </row>
    <row r="366" spans="1:4" ht="14.25" customHeight="1" x14ac:dyDescent="0.2">
      <c r="A366" s="82"/>
      <c r="B366" s="83" t="e">
        <f t="shared" si="0"/>
        <v>#REF!</v>
      </c>
      <c r="C366" s="96" t="e">
        <f t="shared" si="1"/>
        <v>#REF!</v>
      </c>
      <c r="D366" s="87"/>
    </row>
    <row r="367" spans="1:4" ht="14.25" customHeight="1" x14ac:dyDescent="0.2">
      <c r="A367" s="82"/>
      <c r="B367" s="83" t="e">
        <f t="shared" si="0"/>
        <v>#REF!</v>
      </c>
      <c r="C367" s="96" t="e">
        <f t="shared" si="1"/>
        <v>#REF!</v>
      </c>
      <c r="D367" s="87"/>
    </row>
    <row r="368" spans="1:4" ht="14.25" customHeight="1" x14ac:dyDescent="0.2">
      <c r="A368" s="82"/>
      <c r="B368" s="83" t="e">
        <f t="shared" si="0"/>
        <v>#REF!</v>
      </c>
      <c r="C368" s="96" t="e">
        <f t="shared" si="1"/>
        <v>#REF!</v>
      </c>
      <c r="D368" s="87"/>
    </row>
    <row r="369" spans="1:11" ht="14.25" customHeight="1" x14ac:dyDescent="0.2">
      <c r="A369" s="82"/>
      <c r="B369" s="83" t="e">
        <f t="shared" si="0"/>
        <v>#REF!</v>
      </c>
      <c r="C369" s="96" t="e">
        <f t="shared" si="1"/>
        <v>#REF!</v>
      </c>
      <c r="D369" s="87"/>
    </row>
    <row r="370" spans="1:11" ht="14.25" customHeight="1" x14ac:dyDescent="0.2">
      <c r="A370" s="82"/>
      <c r="B370" s="83" t="e">
        <f t="shared" si="0"/>
        <v>#REF!</v>
      </c>
      <c r="C370" s="96" t="e">
        <f t="shared" si="1"/>
        <v>#REF!</v>
      </c>
      <c r="D370" s="87"/>
    </row>
    <row r="371" spans="1:11" ht="14.25" customHeight="1" x14ac:dyDescent="0.2">
      <c r="A371" s="82"/>
      <c r="B371" s="83" t="e">
        <f t="shared" si="0"/>
        <v>#REF!</v>
      </c>
      <c r="C371" s="96" t="e">
        <f t="shared" si="1"/>
        <v>#REF!</v>
      </c>
      <c r="D371" s="87"/>
    </row>
    <row r="372" spans="1:11" ht="14.25" customHeight="1" x14ac:dyDescent="0.2">
      <c r="A372" s="82"/>
      <c r="B372" s="83" t="e">
        <f t="shared" si="0"/>
        <v>#REF!</v>
      </c>
      <c r="C372" s="96" t="e">
        <f t="shared" si="1"/>
        <v>#REF!</v>
      </c>
      <c r="D372" s="87"/>
    </row>
    <row r="373" spans="1:11" ht="14.25" customHeight="1" x14ac:dyDescent="0.2">
      <c r="A373" s="82"/>
      <c r="B373" s="83" t="e">
        <f t="shared" si="0"/>
        <v>#REF!</v>
      </c>
      <c r="C373" s="96" t="e">
        <f t="shared" si="1"/>
        <v>#REF!</v>
      </c>
      <c r="D373" s="87"/>
    </row>
    <row r="374" spans="1:11" ht="14.25" customHeight="1" x14ac:dyDescent="0.2">
      <c r="A374" s="82"/>
      <c r="B374" s="83" t="e">
        <f t="shared" si="0"/>
        <v>#REF!</v>
      </c>
      <c r="C374" s="96" t="e">
        <f t="shared" si="1"/>
        <v>#REF!</v>
      </c>
      <c r="D374" s="87"/>
    </row>
    <row r="375" spans="1:11" ht="14.25" customHeight="1" x14ac:dyDescent="0.2">
      <c r="A375" s="82"/>
      <c r="B375" s="83" t="e">
        <f t="shared" si="0"/>
        <v>#REF!</v>
      </c>
      <c r="C375" s="96" t="e">
        <f t="shared" si="1"/>
        <v>#REF!</v>
      </c>
      <c r="D375" s="87"/>
    </row>
    <row r="376" spans="1:11" ht="14.25" customHeight="1" x14ac:dyDescent="0.2">
      <c r="A376" s="82"/>
      <c r="B376" s="83" t="e">
        <f t="shared" si="0"/>
        <v>#REF!</v>
      </c>
      <c r="C376" s="96" t="e">
        <f t="shared" si="1"/>
        <v>#REF!</v>
      </c>
      <c r="D376" s="87"/>
    </row>
    <row r="377" spans="1:11" ht="14.25" customHeight="1" x14ac:dyDescent="0.2">
      <c r="A377" s="82"/>
      <c r="B377" s="83" t="e">
        <f t="shared" si="0"/>
        <v>#REF!</v>
      </c>
      <c r="C377" s="96" t="e">
        <f t="shared" si="1"/>
        <v>#REF!</v>
      </c>
      <c r="D377" s="87"/>
      <c r="K377" s="86"/>
    </row>
    <row r="378" spans="1:11" ht="14.25" customHeight="1" x14ac:dyDescent="0.2">
      <c r="A378" s="82"/>
      <c r="B378" s="83" t="e">
        <f t="shared" si="0"/>
        <v>#REF!</v>
      </c>
      <c r="C378" s="96" t="e">
        <f t="shared" si="1"/>
        <v>#REF!</v>
      </c>
      <c r="D378" s="87"/>
      <c r="K378" s="86"/>
    </row>
    <row r="379" spans="1:11" ht="14.25" customHeight="1" x14ac:dyDescent="0.2">
      <c r="A379" s="82"/>
      <c r="B379" s="83" t="e">
        <f t="shared" si="0"/>
        <v>#REF!</v>
      </c>
      <c r="C379" s="96" t="e">
        <f t="shared" si="1"/>
        <v>#REF!</v>
      </c>
      <c r="D379" s="87"/>
      <c r="K379" s="86"/>
    </row>
    <row r="380" spans="1:11" ht="14.25" customHeight="1" x14ac:dyDescent="0.2">
      <c r="A380" s="82"/>
      <c r="B380" s="83" t="e">
        <f t="shared" si="0"/>
        <v>#REF!</v>
      </c>
      <c r="C380" s="96" t="e">
        <f t="shared" si="1"/>
        <v>#REF!</v>
      </c>
      <c r="D380" s="87"/>
    </row>
    <row r="381" spans="1:11" ht="14.25" customHeight="1" x14ac:dyDescent="0.2">
      <c r="A381" s="82"/>
      <c r="B381" s="83" t="e">
        <f t="shared" si="0"/>
        <v>#REF!</v>
      </c>
      <c r="C381" s="96" t="e">
        <f t="shared" si="1"/>
        <v>#REF!</v>
      </c>
      <c r="D381" s="87"/>
    </row>
    <row r="382" spans="1:11" ht="14.25" customHeight="1" x14ac:dyDescent="0.2">
      <c r="A382" s="82"/>
      <c r="B382" s="83" t="e">
        <f t="shared" si="0"/>
        <v>#REF!</v>
      </c>
      <c r="C382" s="96" t="e">
        <f t="shared" si="1"/>
        <v>#REF!</v>
      </c>
      <c r="D382" s="87"/>
    </row>
    <row r="383" spans="1:11" ht="14.25" customHeight="1" x14ac:dyDescent="0.2">
      <c r="A383" s="82"/>
      <c r="B383" s="83" t="e">
        <f t="shared" si="0"/>
        <v>#REF!</v>
      </c>
      <c r="C383" s="96" t="e">
        <f t="shared" si="1"/>
        <v>#REF!</v>
      </c>
      <c r="D383" s="87"/>
    </row>
    <row r="384" spans="1:11" ht="14.25" customHeight="1" x14ac:dyDescent="0.2">
      <c r="A384" s="82"/>
      <c r="B384" s="83" t="e">
        <f t="shared" si="0"/>
        <v>#REF!</v>
      </c>
      <c r="C384" s="96" t="e">
        <f t="shared" si="1"/>
        <v>#REF!</v>
      </c>
      <c r="D384" s="87"/>
    </row>
    <row r="385" spans="1:11" ht="14.25" customHeight="1" x14ac:dyDescent="0.2">
      <c r="A385" s="82"/>
      <c r="B385" s="83" t="e">
        <f t="shared" si="0"/>
        <v>#REF!</v>
      </c>
      <c r="C385" s="96" t="e">
        <f t="shared" si="1"/>
        <v>#REF!</v>
      </c>
      <c r="D385" s="87"/>
    </row>
    <row r="386" spans="1:11" ht="14.25" customHeight="1" x14ac:dyDescent="0.2">
      <c r="A386" s="82"/>
      <c r="B386" s="83" t="e">
        <f t="shared" si="0"/>
        <v>#REF!</v>
      </c>
      <c r="C386" s="96" t="e">
        <f t="shared" si="1"/>
        <v>#REF!</v>
      </c>
      <c r="D386" s="87"/>
    </row>
    <row r="387" spans="1:11" ht="14.25" customHeight="1" x14ac:dyDescent="0.2">
      <c r="A387" s="82"/>
      <c r="B387" s="83" t="e">
        <f t="shared" si="0"/>
        <v>#REF!</v>
      </c>
      <c r="C387" s="96" t="e">
        <f t="shared" si="1"/>
        <v>#REF!</v>
      </c>
      <c r="D387" s="87"/>
    </row>
    <row r="388" spans="1:11" ht="14.25" customHeight="1" x14ac:dyDescent="0.2">
      <c r="A388" s="82"/>
      <c r="B388" s="83" t="e">
        <f t="shared" si="0"/>
        <v>#REF!</v>
      </c>
      <c r="C388" s="96" t="e">
        <f t="shared" si="1"/>
        <v>#REF!</v>
      </c>
      <c r="D388" s="87"/>
    </row>
    <row r="389" spans="1:11" ht="14.25" customHeight="1" x14ac:dyDescent="0.2">
      <c r="A389" s="82"/>
      <c r="B389" s="83" t="e">
        <f t="shared" si="0"/>
        <v>#REF!</v>
      </c>
      <c r="C389" s="96" t="e">
        <f t="shared" si="1"/>
        <v>#REF!</v>
      </c>
      <c r="D389" s="87"/>
    </row>
    <row r="390" spans="1:11" ht="14.25" customHeight="1" x14ac:dyDescent="0.2">
      <c r="A390" s="82"/>
      <c r="B390" s="83" t="e">
        <f t="shared" si="0"/>
        <v>#REF!</v>
      </c>
      <c r="C390" s="96" t="e">
        <f t="shared" si="1"/>
        <v>#REF!</v>
      </c>
      <c r="D390" s="87"/>
    </row>
    <row r="391" spans="1:11" ht="14.25" customHeight="1" x14ac:dyDescent="0.2">
      <c r="A391" s="82"/>
      <c r="B391" s="83" t="e">
        <f t="shared" si="0"/>
        <v>#REF!</v>
      </c>
      <c r="C391" s="96" t="e">
        <f t="shared" si="1"/>
        <v>#REF!</v>
      </c>
      <c r="D391" s="87"/>
    </row>
    <row r="392" spans="1:11" ht="14.25" customHeight="1" x14ac:dyDescent="0.2">
      <c r="A392" s="82"/>
      <c r="B392" s="83" t="e">
        <f t="shared" si="0"/>
        <v>#REF!</v>
      </c>
      <c r="C392" s="96" t="e">
        <f t="shared" si="1"/>
        <v>#REF!</v>
      </c>
      <c r="D392" s="87"/>
    </row>
    <row r="393" spans="1:11" ht="14.25" customHeight="1" x14ac:dyDescent="0.2">
      <c r="A393" s="82"/>
      <c r="B393" s="83" t="e">
        <f t="shared" si="0"/>
        <v>#REF!</v>
      </c>
      <c r="C393" s="96" t="e">
        <f t="shared" si="1"/>
        <v>#REF!</v>
      </c>
      <c r="D393" s="87"/>
    </row>
    <row r="394" spans="1:11" ht="14.25" customHeight="1" x14ac:dyDescent="0.2">
      <c r="A394" s="82"/>
      <c r="B394" s="83" t="e">
        <f t="shared" si="0"/>
        <v>#REF!</v>
      </c>
      <c r="C394" s="96" t="e">
        <f t="shared" si="1"/>
        <v>#REF!</v>
      </c>
      <c r="D394" s="87"/>
    </row>
    <row r="395" spans="1:11" ht="14.25" customHeight="1" x14ac:dyDescent="0.2">
      <c r="A395" s="82"/>
      <c r="B395" s="83" t="e">
        <f t="shared" si="0"/>
        <v>#REF!</v>
      </c>
      <c r="C395" s="96" t="e">
        <f t="shared" si="1"/>
        <v>#REF!</v>
      </c>
      <c r="D395" s="87"/>
    </row>
    <row r="396" spans="1:11" ht="14.25" customHeight="1" x14ac:dyDescent="0.2">
      <c r="A396" s="82"/>
      <c r="B396" s="83" t="e">
        <f t="shared" si="0"/>
        <v>#REF!</v>
      </c>
      <c r="C396" s="96" t="e">
        <f t="shared" si="1"/>
        <v>#REF!</v>
      </c>
      <c r="D396" s="87"/>
      <c r="K396" s="86"/>
    </row>
    <row r="397" spans="1:11" ht="14.25" customHeight="1" x14ac:dyDescent="0.2">
      <c r="A397" s="82"/>
      <c r="B397" s="83" t="e">
        <f t="shared" si="0"/>
        <v>#REF!</v>
      </c>
      <c r="C397" s="96" t="e">
        <f t="shared" si="1"/>
        <v>#REF!</v>
      </c>
      <c r="D397" s="87"/>
    </row>
    <row r="398" spans="1:11" ht="14.25" customHeight="1" x14ac:dyDescent="0.2">
      <c r="A398" s="82"/>
      <c r="B398" s="83" t="e">
        <f t="shared" si="0"/>
        <v>#REF!</v>
      </c>
      <c r="C398" s="96" t="e">
        <f t="shared" si="1"/>
        <v>#REF!</v>
      </c>
      <c r="D398" s="87"/>
    </row>
    <row r="399" spans="1:11" ht="14.25" customHeight="1" x14ac:dyDescent="0.2">
      <c r="A399" s="82"/>
      <c r="B399" s="83" t="e">
        <f t="shared" si="0"/>
        <v>#REF!</v>
      </c>
      <c r="C399" s="96" t="e">
        <f t="shared" si="1"/>
        <v>#REF!</v>
      </c>
      <c r="D399" s="87"/>
    </row>
    <row r="400" spans="1:11" ht="14.25" customHeight="1" x14ac:dyDescent="0.2">
      <c r="A400" s="82"/>
      <c r="B400" s="83" t="e">
        <f t="shared" si="0"/>
        <v>#REF!</v>
      </c>
      <c r="C400" s="96" t="e">
        <f t="shared" si="1"/>
        <v>#REF!</v>
      </c>
      <c r="D400" s="87"/>
    </row>
    <row r="401" spans="1:4" ht="14.25" customHeight="1" x14ac:dyDescent="0.2">
      <c r="A401" s="82"/>
      <c r="B401" s="83" t="e">
        <f t="shared" si="0"/>
        <v>#REF!</v>
      </c>
      <c r="C401" s="96" t="e">
        <f t="shared" si="1"/>
        <v>#REF!</v>
      </c>
      <c r="D401" s="87"/>
    </row>
    <row r="402" spans="1:4" ht="14.25" customHeight="1" x14ac:dyDescent="0.2">
      <c r="A402" s="82"/>
      <c r="B402" s="83" t="e">
        <f t="shared" si="0"/>
        <v>#REF!</v>
      </c>
      <c r="C402" s="96" t="e">
        <f t="shared" si="1"/>
        <v>#REF!</v>
      </c>
      <c r="D402" s="87"/>
    </row>
    <row r="403" spans="1:4" ht="14.25" customHeight="1" x14ac:dyDescent="0.2">
      <c r="A403" s="82"/>
      <c r="B403" s="83" t="e">
        <f t="shared" si="0"/>
        <v>#REF!</v>
      </c>
      <c r="C403" s="96" t="e">
        <f t="shared" si="1"/>
        <v>#REF!</v>
      </c>
      <c r="D403" s="87"/>
    </row>
    <row r="404" spans="1:4" ht="14.25" customHeight="1" x14ac:dyDescent="0.2">
      <c r="A404" s="82"/>
      <c r="B404" s="83" t="e">
        <f t="shared" si="0"/>
        <v>#REF!</v>
      </c>
      <c r="C404" s="96" t="e">
        <f t="shared" si="1"/>
        <v>#REF!</v>
      </c>
      <c r="D404" s="87"/>
    </row>
    <row r="405" spans="1:4" ht="14.25" customHeight="1" x14ac:dyDescent="0.2">
      <c r="A405" s="82"/>
      <c r="B405" s="83" t="e">
        <f t="shared" si="0"/>
        <v>#REF!</v>
      </c>
      <c r="C405" s="96" t="e">
        <f t="shared" si="1"/>
        <v>#REF!</v>
      </c>
      <c r="D405" s="87"/>
    </row>
    <row r="406" spans="1:4" ht="14.25" customHeight="1" x14ac:dyDescent="0.2">
      <c r="A406" s="82"/>
      <c r="B406" s="83" t="e">
        <f t="shared" si="0"/>
        <v>#REF!</v>
      </c>
      <c r="C406" s="96" t="e">
        <f t="shared" si="1"/>
        <v>#REF!</v>
      </c>
      <c r="D406" s="87"/>
    </row>
    <row r="407" spans="1:4" ht="14.25" customHeight="1" x14ac:dyDescent="0.2">
      <c r="A407" s="82"/>
      <c r="B407" s="83" t="e">
        <f t="shared" si="0"/>
        <v>#REF!</v>
      </c>
      <c r="C407" s="96" t="e">
        <f t="shared" si="1"/>
        <v>#REF!</v>
      </c>
      <c r="D407" s="87"/>
    </row>
    <row r="408" spans="1:4" ht="14.25" customHeight="1" x14ac:dyDescent="0.2">
      <c r="A408" s="82"/>
      <c r="B408" s="83" t="e">
        <f t="shared" si="0"/>
        <v>#REF!</v>
      </c>
      <c r="C408" s="96" t="e">
        <f t="shared" si="1"/>
        <v>#REF!</v>
      </c>
      <c r="D408" s="87"/>
    </row>
    <row r="409" spans="1:4" ht="14.25" customHeight="1" x14ac:dyDescent="0.2">
      <c r="A409" s="82"/>
      <c r="B409" s="83" t="e">
        <f t="shared" si="0"/>
        <v>#REF!</v>
      </c>
      <c r="C409" s="96" t="e">
        <f t="shared" si="1"/>
        <v>#REF!</v>
      </c>
      <c r="D409" s="87"/>
    </row>
    <row r="410" spans="1:4" ht="14.25" customHeight="1" x14ac:dyDescent="0.2">
      <c r="A410" s="82"/>
      <c r="B410" s="83" t="e">
        <f t="shared" si="0"/>
        <v>#REF!</v>
      </c>
      <c r="C410" s="96" t="e">
        <f t="shared" si="1"/>
        <v>#REF!</v>
      </c>
      <c r="D410" s="87"/>
    </row>
    <row r="411" spans="1:4" ht="14.25" customHeight="1" x14ac:dyDescent="0.2">
      <c r="A411" s="82"/>
      <c r="B411" s="83" t="e">
        <f t="shared" si="0"/>
        <v>#REF!</v>
      </c>
      <c r="C411" s="96" t="e">
        <f t="shared" si="1"/>
        <v>#REF!</v>
      </c>
      <c r="D411" s="87"/>
    </row>
    <row r="412" spans="1:4" ht="14.25" customHeight="1" x14ac:dyDescent="0.2">
      <c r="A412" s="82"/>
      <c r="B412" s="83" t="e">
        <f t="shared" si="0"/>
        <v>#REF!</v>
      </c>
      <c r="C412" s="96" t="e">
        <f t="shared" si="1"/>
        <v>#REF!</v>
      </c>
      <c r="D412" s="87"/>
    </row>
    <row r="413" spans="1:4" ht="14.25" customHeight="1" x14ac:dyDescent="0.2">
      <c r="A413" s="82"/>
      <c r="B413" s="83" t="e">
        <f t="shared" si="0"/>
        <v>#REF!</v>
      </c>
      <c r="C413" s="96" t="e">
        <f t="shared" si="1"/>
        <v>#REF!</v>
      </c>
      <c r="D413" s="87"/>
    </row>
    <row r="414" spans="1:4" ht="14.25" customHeight="1" x14ac:dyDescent="0.2">
      <c r="A414" s="82"/>
      <c r="B414" s="83" t="e">
        <f t="shared" si="0"/>
        <v>#REF!</v>
      </c>
      <c r="C414" s="96" t="e">
        <f t="shared" si="1"/>
        <v>#REF!</v>
      </c>
      <c r="D414" s="87"/>
    </row>
    <row r="415" spans="1:4" ht="14.25" customHeight="1" x14ac:dyDescent="0.2">
      <c r="A415" s="82"/>
      <c r="B415" s="83" t="e">
        <f t="shared" si="0"/>
        <v>#REF!</v>
      </c>
      <c r="C415" s="96" t="e">
        <f t="shared" si="1"/>
        <v>#REF!</v>
      </c>
      <c r="D415" s="87"/>
    </row>
    <row r="416" spans="1:4" ht="14.25" customHeight="1" x14ac:dyDescent="0.2">
      <c r="A416" s="82"/>
      <c r="B416" s="83" t="e">
        <f t="shared" si="0"/>
        <v>#REF!</v>
      </c>
      <c r="C416" s="96" t="e">
        <f t="shared" si="1"/>
        <v>#REF!</v>
      </c>
      <c r="D416" s="87"/>
    </row>
    <row r="417" spans="1:4" ht="14.25" customHeight="1" x14ac:dyDescent="0.2">
      <c r="A417" s="82"/>
      <c r="B417" s="83" t="e">
        <f t="shared" si="0"/>
        <v>#REF!</v>
      </c>
      <c r="C417" s="96" t="e">
        <f t="shared" si="1"/>
        <v>#REF!</v>
      </c>
      <c r="D417" s="87"/>
    </row>
    <row r="418" spans="1:4" ht="14.25" customHeight="1" x14ac:dyDescent="0.2">
      <c r="A418" s="82"/>
      <c r="B418" s="83" t="e">
        <f t="shared" si="0"/>
        <v>#REF!</v>
      </c>
      <c r="C418" s="96" t="e">
        <f t="shared" si="1"/>
        <v>#REF!</v>
      </c>
      <c r="D418" s="87"/>
    </row>
    <row r="419" spans="1:4" ht="14.25" customHeight="1" x14ac:dyDescent="0.2">
      <c r="A419" s="82"/>
      <c r="B419" s="83" t="e">
        <f t="shared" si="0"/>
        <v>#REF!</v>
      </c>
      <c r="C419" s="96" t="e">
        <f t="shared" si="1"/>
        <v>#REF!</v>
      </c>
      <c r="D419" s="87"/>
    </row>
    <row r="420" spans="1:4" ht="14.25" customHeight="1" x14ac:dyDescent="0.2">
      <c r="A420" s="82"/>
      <c r="B420" s="83" t="e">
        <f t="shared" si="0"/>
        <v>#REF!</v>
      </c>
      <c r="C420" s="96" t="e">
        <f t="shared" si="1"/>
        <v>#REF!</v>
      </c>
      <c r="D420" s="87"/>
    </row>
    <row r="421" spans="1:4" ht="14.25" customHeight="1" x14ac:dyDescent="0.2">
      <c r="A421" s="82"/>
      <c r="B421" s="83" t="e">
        <f t="shared" si="0"/>
        <v>#REF!</v>
      </c>
      <c r="C421" s="96" t="e">
        <f t="shared" si="1"/>
        <v>#REF!</v>
      </c>
      <c r="D421" s="87"/>
    </row>
    <row r="422" spans="1:4" ht="14.25" customHeight="1" x14ac:dyDescent="0.2">
      <c r="A422" s="82"/>
      <c r="B422" s="83" t="e">
        <f t="shared" si="0"/>
        <v>#REF!</v>
      </c>
      <c r="C422" s="96" t="e">
        <f t="shared" si="1"/>
        <v>#REF!</v>
      </c>
      <c r="D422" s="87"/>
    </row>
    <row r="423" spans="1:4" ht="14.25" customHeight="1" x14ac:dyDescent="0.2">
      <c r="A423" s="82"/>
      <c r="B423" s="83" t="e">
        <f t="shared" si="0"/>
        <v>#REF!</v>
      </c>
      <c r="C423" s="96" t="e">
        <f t="shared" si="1"/>
        <v>#REF!</v>
      </c>
      <c r="D423" s="87"/>
    </row>
    <row r="424" spans="1:4" ht="14.25" customHeight="1" x14ac:dyDescent="0.2">
      <c r="A424" s="82"/>
      <c r="B424" s="83" t="e">
        <f t="shared" si="0"/>
        <v>#REF!</v>
      </c>
      <c r="C424" s="96" t="e">
        <f t="shared" si="1"/>
        <v>#REF!</v>
      </c>
      <c r="D424" s="87"/>
    </row>
    <row r="425" spans="1:4" ht="14.25" customHeight="1" x14ac:dyDescent="0.2">
      <c r="A425" s="82"/>
      <c r="B425" s="83" t="e">
        <f t="shared" si="0"/>
        <v>#REF!</v>
      </c>
      <c r="C425" s="96" t="e">
        <f t="shared" si="1"/>
        <v>#REF!</v>
      </c>
      <c r="D425" s="87"/>
    </row>
    <row r="426" spans="1:4" ht="14.25" customHeight="1" x14ac:dyDescent="0.2">
      <c r="A426" s="82"/>
      <c r="B426" s="83" t="e">
        <f t="shared" si="0"/>
        <v>#REF!</v>
      </c>
      <c r="C426" s="96" t="e">
        <f t="shared" si="1"/>
        <v>#REF!</v>
      </c>
      <c r="D426" s="87"/>
    </row>
    <row r="427" spans="1:4" ht="14.25" customHeight="1" x14ac:dyDescent="0.2">
      <c r="A427" s="82"/>
      <c r="B427" s="83" t="e">
        <f t="shared" si="0"/>
        <v>#REF!</v>
      </c>
      <c r="C427" s="96" t="e">
        <f t="shared" si="1"/>
        <v>#REF!</v>
      </c>
      <c r="D427" s="87"/>
    </row>
    <row r="428" spans="1:4" ht="14.25" customHeight="1" x14ac:dyDescent="0.2">
      <c r="A428" s="82"/>
      <c r="B428" s="83" t="e">
        <f t="shared" si="0"/>
        <v>#REF!</v>
      </c>
      <c r="C428" s="96" t="e">
        <f t="shared" si="1"/>
        <v>#REF!</v>
      </c>
      <c r="D428" s="87"/>
    </row>
    <row r="429" spans="1:4" ht="14.25" customHeight="1" x14ac:dyDescent="0.2">
      <c r="A429" s="82"/>
      <c r="B429" s="83" t="e">
        <f t="shared" si="0"/>
        <v>#REF!</v>
      </c>
      <c r="C429" s="96" t="e">
        <f t="shared" si="1"/>
        <v>#REF!</v>
      </c>
      <c r="D429" s="87"/>
    </row>
    <row r="430" spans="1:4" ht="14.25" customHeight="1" x14ac:dyDescent="0.2">
      <c r="A430" s="82"/>
      <c r="B430" s="83" t="e">
        <f t="shared" si="0"/>
        <v>#REF!</v>
      </c>
      <c r="C430" s="96" t="e">
        <f t="shared" si="1"/>
        <v>#REF!</v>
      </c>
      <c r="D430" s="87"/>
    </row>
    <row r="431" spans="1:4" ht="14.25" customHeight="1" x14ac:dyDescent="0.2">
      <c r="A431" s="82"/>
      <c r="B431" s="83" t="e">
        <f t="shared" si="0"/>
        <v>#REF!</v>
      </c>
      <c r="C431" s="96" t="e">
        <f t="shared" si="1"/>
        <v>#REF!</v>
      </c>
      <c r="D431" s="87"/>
    </row>
    <row r="432" spans="1:4" ht="14.25" customHeight="1" x14ac:dyDescent="0.2">
      <c r="A432" s="82"/>
      <c r="B432" s="83" t="e">
        <f t="shared" si="0"/>
        <v>#REF!</v>
      </c>
      <c r="C432" s="96" t="e">
        <f t="shared" si="1"/>
        <v>#REF!</v>
      </c>
      <c r="D432" s="87"/>
    </row>
    <row r="433" spans="1:4" ht="14.25" customHeight="1" x14ac:dyDescent="0.2">
      <c r="A433" s="82"/>
      <c r="B433" s="83" t="e">
        <f t="shared" si="0"/>
        <v>#REF!</v>
      </c>
      <c r="C433" s="96" t="e">
        <f t="shared" si="1"/>
        <v>#REF!</v>
      </c>
      <c r="D433" s="87"/>
    </row>
    <row r="434" spans="1:4" ht="14.25" customHeight="1" x14ac:dyDescent="0.2">
      <c r="A434" s="82"/>
      <c r="B434" s="83" t="e">
        <f t="shared" si="0"/>
        <v>#REF!</v>
      </c>
      <c r="C434" s="96" t="e">
        <f t="shared" si="1"/>
        <v>#REF!</v>
      </c>
      <c r="D434" s="87"/>
    </row>
    <row r="435" spans="1:4" ht="14.25" customHeight="1" x14ac:dyDescent="0.2">
      <c r="A435" s="82"/>
      <c r="B435" s="83" t="e">
        <f t="shared" si="0"/>
        <v>#REF!</v>
      </c>
      <c r="C435" s="96" t="e">
        <f t="shared" si="1"/>
        <v>#REF!</v>
      </c>
      <c r="D435" s="87"/>
    </row>
    <row r="436" spans="1:4" ht="14.25" customHeight="1" x14ac:dyDescent="0.2">
      <c r="A436" s="82"/>
      <c r="B436" s="83" t="e">
        <f t="shared" si="0"/>
        <v>#REF!</v>
      </c>
      <c r="C436" s="96" t="e">
        <f t="shared" si="1"/>
        <v>#REF!</v>
      </c>
      <c r="D436" s="87"/>
    </row>
    <row r="437" spans="1:4" ht="14.25" customHeight="1" x14ac:dyDescent="0.2">
      <c r="A437" s="82"/>
      <c r="B437" s="83" t="e">
        <f t="shared" si="0"/>
        <v>#REF!</v>
      </c>
      <c r="C437" s="96" t="e">
        <f t="shared" si="1"/>
        <v>#REF!</v>
      </c>
      <c r="D437" s="87"/>
    </row>
    <row r="438" spans="1:4" ht="14.25" customHeight="1" x14ac:dyDescent="0.2">
      <c r="A438" s="82"/>
      <c r="B438" s="83" t="e">
        <f t="shared" si="0"/>
        <v>#REF!</v>
      </c>
      <c r="C438" s="96" t="e">
        <f t="shared" si="1"/>
        <v>#REF!</v>
      </c>
      <c r="D438" s="87"/>
    </row>
    <row r="439" spans="1:4" ht="14.25" customHeight="1" x14ac:dyDescent="0.2">
      <c r="A439" s="82"/>
      <c r="B439" s="83" t="e">
        <f t="shared" si="0"/>
        <v>#REF!</v>
      </c>
      <c r="C439" s="96" t="e">
        <f t="shared" si="1"/>
        <v>#REF!</v>
      </c>
      <c r="D439" s="87"/>
    </row>
    <row r="440" spans="1:4" ht="14.25" customHeight="1" x14ac:dyDescent="0.2">
      <c r="A440" s="82"/>
      <c r="B440" s="83" t="e">
        <f t="shared" si="0"/>
        <v>#REF!</v>
      </c>
      <c r="C440" s="96" t="e">
        <f t="shared" si="1"/>
        <v>#REF!</v>
      </c>
      <c r="D440" s="87"/>
    </row>
    <row r="441" spans="1:4" ht="14.25" customHeight="1" x14ac:dyDescent="0.2">
      <c r="A441" s="82"/>
      <c r="B441" s="83" t="e">
        <f t="shared" si="0"/>
        <v>#REF!</v>
      </c>
      <c r="C441" s="96" t="e">
        <f t="shared" si="1"/>
        <v>#REF!</v>
      </c>
      <c r="D441" s="87"/>
    </row>
    <row r="442" spans="1:4" ht="14.25" customHeight="1" x14ac:dyDescent="0.2">
      <c r="A442" s="82"/>
      <c r="B442" s="83" t="e">
        <f t="shared" si="0"/>
        <v>#REF!</v>
      </c>
      <c r="C442" s="96" t="e">
        <f t="shared" si="1"/>
        <v>#REF!</v>
      </c>
      <c r="D442" s="87"/>
    </row>
    <row r="443" spans="1:4" ht="14.25" customHeight="1" x14ac:dyDescent="0.2">
      <c r="A443" s="82"/>
      <c r="B443" s="83" t="e">
        <f t="shared" si="0"/>
        <v>#REF!</v>
      </c>
      <c r="C443" s="96" t="e">
        <f t="shared" si="1"/>
        <v>#REF!</v>
      </c>
      <c r="D443" s="87"/>
    </row>
    <row r="444" spans="1:4" ht="14.25" customHeight="1" x14ac:dyDescent="0.2">
      <c r="A444" s="82"/>
      <c r="B444" s="83" t="e">
        <f t="shared" si="0"/>
        <v>#REF!</v>
      </c>
      <c r="C444" s="96" t="e">
        <f t="shared" si="1"/>
        <v>#REF!</v>
      </c>
      <c r="D444" s="87"/>
    </row>
    <row r="445" spans="1:4" ht="14.25" customHeight="1" x14ac:dyDescent="0.2">
      <c r="A445" s="82"/>
      <c r="B445" s="83" t="e">
        <f t="shared" si="0"/>
        <v>#REF!</v>
      </c>
      <c r="C445" s="96" t="e">
        <f t="shared" si="1"/>
        <v>#REF!</v>
      </c>
      <c r="D445" s="87"/>
    </row>
    <row r="446" spans="1:4" ht="14.25" customHeight="1" x14ac:dyDescent="0.2">
      <c r="A446" s="82"/>
      <c r="B446" s="83" t="e">
        <f t="shared" si="0"/>
        <v>#REF!</v>
      </c>
      <c r="C446" s="96" t="e">
        <f t="shared" si="1"/>
        <v>#REF!</v>
      </c>
      <c r="D446" s="87"/>
    </row>
    <row r="447" spans="1:4" ht="14.25" customHeight="1" x14ac:dyDescent="0.2">
      <c r="A447" s="82"/>
      <c r="B447" s="83" t="e">
        <f t="shared" si="0"/>
        <v>#REF!</v>
      </c>
      <c r="C447" s="96" t="e">
        <f t="shared" si="1"/>
        <v>#REF!</v>
      </c>
      <c r="D447" s="87"/>
    </row>
    <row r="448" spans="1:4" ht="14.25" customHeight="1" x14ac:dyDescent="0.2">
      <c r="A448" s="82"/>
      <c r="B448" s="83" t="e">
        <f t="shared" si="0"/>
        <v>#REF!</v>
      </c>
      <c r="C448" s="96" t="e">
        <f t="shared" si="1"/>
        <v>#REF!</v>
      </c>
      <c r="D448" s="87"/>
    </row>
    <row r="449" spans="1:4" ht="14.25" customHeight="1" x14ac:dyDescent="0.2">
      <c r="A449" s="82"/>
      <c r="B449" s="83" t="e">
        <f t="shared" si="0"/>
        <v>#REF!</v>
      </c>
      <c r="C449" s="96" t="e">
        <f t="shared" si="1"/>
        <v>#REF!</v>
      </c>
      <c r="D449" s="87"/>
    </row>
    <row r="450" spans="1:4" ht="14.25" customHeight="1" x14ac:dyDescent="0.2">
      <c r="A450" s="82"/>
      <c r="B450" s="83" t="e">
        <f t="shared" si="0"/>
        <v>#REF!</v>
      </c>
      <c r="C450" s="96" t="e">
        <f t="shared" si="1"/>
        <v>#REF!</v>
      </c>
      <c r="D450" s="87"/>
    </row>
    <row r="451" spans="1:4" ht="14.25" customHeight="1" x14ac:dyDescent="0.2">
      <c r="A451" s="82"/>
      <c r="B451" s="83" t="e">
        <f t="shared" si="0"/>
        <v>#REF!</v>
      </c>
      <c r="C451" s="96" t="e">
        <f t="shared" si="1"/>
        <v>#REF!</v>
      </c>
      <c r="D451" s="87"/>
    </row>
    <row r="452" spans="1:4" ht="14.25" customHeight="1" x14ac:dyDescent="0.2">
      <c r="A452" s="82"/>
      <c r="B452" s="83" t="e">
        <f t="shared" si="0"/>
        <v>#REF!</v>
      </c>
      <c r="C452" s="96" t="e">
        <f t="shared" si="1"/>
        <v>#REF!</v>
      </c>
      <c r="D452" s="87"/>
    </row>
    <row r="453" spans="1:4" ht="14.25" customHeight="1" x14ac:dyDescent="0.2">
      <c r="A453" s="82"/>
      <c r="B453" s="83" t="e">
        <f t="shared" si="0"/>
        <v>#REF!</v>
      </c>
      <c r="C453" s="96" t="e">
        <f t="shared" si="1"/>
        <v>#REF!</v>
      </c>
      <c r="D453" s="87"/>
    </row>
    <row r="454" spans="1:4" ht="14.25" customHeight="1" x14ac:dyDescent="0.2">
      <c r="A454" s="82"/>
      <c r="B454" s="83" t="e">
        <f t="shared" si="0"/>
        <v>#REF!</v>
      </c>
      <c r="C454" s="96" t="e">
        <f t="shared" si="1"/>
        <v>#REF!</v>
      </c>
      <c r="D454" s="87"/>
    </row>
    <row r="455" spans="1:4" ht="14.25" customHeight="1" x14ac:dyDescent="0.2">
      <c r="A455" s="82"/>
      <c r="B455" s="83" t="e">
        <f t="shared" si="0"/>
        <v>#REF!</v>
      </c>
      <c r="C455" s="96" t="e">
        <f t="shared" si="1"/>
        <v>#REF!</v>
      </c>
      <c r="D455" s="87"/>
    </row>
    <row r="456" spans="1:4" ht="14.25" customHeight="1" x14ac:dyDescent="0.2">
      <c r="A456" s="82"/>
      <c r="B456" s="83" t="e">
        <f t="shared" si="0"/>
        <v>#REF!</v>
      </c>
      <c r="C456" s="96" t="e">
        <f t="shared" si="1"/>
        <v>#REF!</v>
      </c>
      <c r="D456" s="87"/>
    </row>
    <row r="457" spans="1:4" ht="14.25" customHeight="1" x14ac:dyDescent="0.2">
      <c r="A457" s="82"/>
      <c r="B457" s="83" t="e">
        <f t="shared" si="0"/>
        <v>#REF!</v>
      </c>
      <c r="C457" s="96" t="e">
        <f t="shared" si="1"/>
        <v>#REF!</v>
      </c>
      <c r="D457" s="87"/>
    </row>
    <row r="458" spans="1:4" ht="14.25" customHeight="1" x14ac:dyDescent="0.2">
      <c r="A458" s="82"/>
      <c r="B458" s="83" t="e">
        <f t="shared" ref="B458:B712" si="2">IF(H458="credit",#REF!, (#REF!* -1))</f>
        <v>#REF!</v>
      </c>
      <c r="C458" s="96" t="e">
        <f t="shared" ref="C458:C712" si="3">C457+B458</f>
        <v>#REF!</v>
      </c>
      <c r="D458" s="87"/>
    </row>
    <row r="459" spans="1:4" ht="14.25" customHeight="1" x14ac:dyDescent="0.2">
      <c r="A459" s="82"/>
      <c r="B459" s="83" t="e">
        <f t="shared" si="2"/>
        <v>#REF!</v>
      </c>
      <c r="C459" s="96" t="e">
        <f t="shared" si="3"/>
        <v>#REF!</v>
      </c>
      <c r="D459" s="87"/>
    </row>
    <row r="460" spans="1:4" ht="14.25" customHeight="1" x14ac:dyDescent="0.2">
      <c r="A460" s="82"/>
      <c r="B460" s="83" t="e">
        <f t="shared" si="2"/>
        <v>#REF!</v>
      </c>
      <c r="C460" s="96" t="e">
        <f t="shared" si="3"/>
        <v>#REF!</v>
      </c>
      <c r="D460" s="87"/>
    </row>
    <row r="461" spans="1:4" ht="14.25" customHeight="1" x14ac:dyDescent="0.2">
      <c r="A461" s="82"/>
      <c r="B461" s="83" t="e">
        <f t="shared" si="2"/>
        <v>#REF!</v>
      </c>
      <c r="C461" s="96" t="e">
        <f t="shared" si="3"/>
        <v>#REF!</v>
      </c>
      <c r="D461" s="87"/>
    </row>
    <row r="462" spans="1:4" ht="14.25" customHeight="1" x14ac:dyDescent="0.2">
      <c r="A462" s="82"/>
      <c r="B462" s="83" t="e">
        <f t="shared" si="2"/>
        <v>#REF!</v>
      </c>
      <c r="C462" s="96" t="e">
        <f t="shared" si="3"/>
        <v>#REF!</v>
      </c>
      <c r="D462" s="87"/>
    </row>
    <row r="463" spans="1:4" ht="14.25" customHeight="1" x14ac:dyDescent="0.2">
      <c r="A463" s="82"/>
      <c r="B463" s="83" t="e">
        <f t="shared" si="2"/>
        <v>#REF!</v>
      </c>
      <c r="C463" s="96" t="e">
        <f t="shared" si="3"/>
        <v>#REF!</v>
      </c>
      <c r="D463" s="87"/>
    </row>
    <row r="464" spans="1:4" ht="14.25" customHeight="1" x14ac:dyDescent="0.2">
      <c r="A464" s="82"/>
      <c r="B464" s="83" t="e">
        <f t="shared" si="2"/>
        <v>#REF!</v>
      </c>
      <c r="C464" s="96" t="e">
        <f t="shared" si="3"/>
        <v>#REF!</v>
      </c>
      <c r="D464" s="87"/>
    </row>
    <row r="465" spans="1:4" ht="14.25" customHeight="1" x14ac:dyDescent="0.2">
      <c r="A465" s="82"/>
      <c r="B465" s="83" t="e">
        <f t="shared" si="2"/>
        <v>#REF!</v>
      </c>
      <c r="C465" s="96" t="e">
        <f t="shared" si="3"/>
        <v>#REF!</v>
      </c>
      <c r="D465" s="87"/>
    </row>
    <row r="466" spans="1:4" ht="14.25" customHeight="1" x14ac:dyDescent="0.2">
      <c r="A466" s="82"/>
      <c r="B466" s="83" t="e">
        <f t="shared" si="2"/>
        <v>#REF!</v>
      </c>
      <c r="C466" s="96" t="e">
        <f t="shared" si="3"/>
        <v>#REF!</v>
      </c>
      <c r="D466" s="87"/>
    </row>
    <row r="467" spans="1:4" ht="14.25" customHeight="1" x14ac:dyDescent="0.2">
      <c r="A467" s="82"/>
      <c r="B467" s="83" t="e">
        <f t="shared" si="2"/>
        <v>#REF!</v>
      </c>
      <c r="C467" s="96" t="e">
        <f t="shared" si="3"/>
        <v>#REF!</v>
      </c>
      <c r="D467" s="87"/>
    </row>
    <row r="468" spans="1:4" ht="14.25" customHeight="1" x14ac:dyDescent="0.2">
      <c r="A468" s="82"/>
      <c r="B468" s="83" t="e">
        <f t="shared" si="2"/>
        <v>#REF!</v>
      </c>
      <c r="C468" s="96" t="e">
        <f t="shared" si="3"/>
        <v>#REF!</v>
      </c>
      <c r="D468" s="87"/>
    </row>
    <row r="469" spans="1:4" ht="14.25" customHeight="1" x14ac:dyDescent="0.2">
      <c r="A469" s="82"/>
      <c r="B469" s="83" t="e">
        <f t="shared" si="2"/>
        <v>#REF!</v>
      </c>
      <c r="C469" s="96" t="e">
        <f t="shared" si="3"/>
        <v>#REF!</v>
      </c>
      <c r="D469" s="87"/>
    </row>
    <row r="470" spans="1:4" ht="14.25" customHeight="1" x14ac:dyDescent="0.2">
      <c r="A470" s="82"/>
      <c r="B470" s="83" t="e">
        <f t="shared" si="2"/>
        <v>#REF!</v>
      </c>
      <c r="C470" s="96" t="e">
        <f t="shared" si="3"/>
        <v>#REF!</v>
      </c>
      <c r="D470" s="87"/>
    </row>
    <row r="471" spans="1:4" ht="14.25" customHeight="1" x14ac:dyDescent="0.2">
      <c r="A471" s="82"/>
      <c r="B471" s="83" t="e">
        <f t="shared" si="2"/>
        <v>#REF!</v>
      </c>
      <c r="C471" s="96" t="e">
        <f t="shared" si="3"/>
        <v>#REF!</v>
      </c>
      <c r="D471" s="87"/>
    </row>
    <row r="472" spans="1:4" ht="14.25" customHeight="1" x14ac:dyDescent="0.2">
      <c r="A472" s="82"/>
      <c r="B472" s="83" t="e">
        <f t="shared" si="2"/>
        <v>#REF!</v>
      </c>
      <c r="C472" s="96" t="e">
        <f t="shared" si="3"/>
        <v>#REF!</v>
      </c>
      <c r="D472" s="87"/>
    </row>
    <row r="473" spans="1:4" ht="14.25" customHeight="1" x14ac:dyDescent="0.2">
      <c r="A473" s="82"/>
      <c r="B473" s="83" t="e">
        <f t="shared" si="2"/>
        <v>#REF!</v>
      </c>
      <c r="C473" s="96" t="e">
        <f t="shared" si="3"/>
        <v>#REF!</v>
      </c>
      <c r="D473" s="87"/>
    </row>
    <row r="474" spans="1:4" ht="14.25" customHeight="1" x14ac:dyDescent="0.2">
      <c r="A474" s="82"/>
      <c r="B474" s="83" t="e">
        <f t="shared" si="2"/>
        <v>#REF!</v>
      </c>
      <c r="C474" s="96" t="e">
        <f t="shared" si="3"/>
        <v>#REF!</v>
      </c>
      <c r="D474" s="87"/>
    </row>
    <row r="475" spans="1:4" ht="14.25" customHeight="1" x14ac:dyDescent="0.2">
      <c r="A475" s="82"/>
      <c r="B475" s="83" t="e">
        <f t="shared" si="2"/>
        <v>#REF!</v>
      </c>
      <c r="C475" s="96" t="e">
        <f t="shared" si="3"/>
        <v>#REF!</v>
      </c>
      <c r="D475" s="87"/>
    </row>
    <row r="476" spans="1:4" ht="14.25" customHeight="1" x14ac:dyDescent="0.2">
      <c r="A476" s="82"/>
      <c r="B476" s="83" t="e">
        <f t="shared" si="2"/>
        <v>#REF!</v>
      </c>
      <c r="C476" s="96" t="e">
        <f t="shared" si="3"/>
        <v>#REF!</v>
      </c>
      <c r="D476" s="87"/>
    </row>
    <row r="477" spans="1:4" ht="14.25" customHeight="1" x14ac:dyDescent="0.2">
      <c r="A477" s="82"/>
      <c r="B477" s="83" t="e">
        <f t="shared" si="2"/>
        <v>#REF!</v>
      </c>
      <c r="C477" s="96" t="e">
        <f t="shared" si="3"/>
        <v>#REF!</v>
      </c>
      <c r="D477" s="87"/>
    </row>
    <row r="478" spans="1:4" ht="14.25" customHeight="1" x14ac:dyDescent="0.2">
      <c r="A478" s="82"/>
      <c r="B478" s="83" t="e">
        <f t="shared" si="2"/>
        <v>#REF!</v>
      </c>
      <c r="C478" s="96" t="e">
        <f t="shared" si="3"/>
        <v>#REF!</v>
      </c>
      <c r="D478" s="87"/>
    </row>
    <row r="479" spans="1:4" ht="14.25" customHeight="1" x14ac:dyDescent="0.2">
      <c r="A479" s="82"/>
      <c r="B479" s="83" t="e">
        <f t="shared" si="2"/>
        <v>#REF!</v>
      </c>
      <c r="C479" s="96" t="e">
        <f t="shared" si="3"/>
        <v>#REF!</v>
      </c>
      <c r="D479" s="87"/>
    </row>
    <row r="480" spans="1:4" ht="14.25" customHeight="1" x14ac:dyDescent="0.2">
      <c r="A480" s="82"/>
      <c r="B480" s="83" t="e">
        <f t="shared" si="2"/>
        <v>#REF!</v>
      </c>
      <c r="C480" s="96" t="e">
        <f t="shared" si="3"/>
        <v>#REF!</v>
      </c>
      <c r="D480" s="87"/>
    </row>
    <row r="481" spans="1:4" ht="14.25" customHeight="1" x14ac:dyDescent="0.2">
      <c r="A481" s="82"/>
      <c r="B481" s="83" t="e">
        <f t="shared" si="2"/>
        <v>#REF!</v>
      </c>
      <c r="C481" s="96" t="e">
        <f t="shared" si="3"/>
        <v>#REF!</v>
      </c>
      <c r="D481" s="87"/>
    </row>
    <row r="482" spans="1:4" ht="14.25" customHeight="1" x14ac:dyDescent="0.2">
      <c r="A482" s="82"/>
      <c r="B482" s="83" t="e">
        <f t="shared" si="2"/>
        <v>#REF!</v>
      </c>
      <c r="C482" s="96" t="e">
        <f t="shared" si="3"/>
        <v>#REF!</v>
      </c>
      <c r="D482" s="87"/>
    </row>
    <row r="483" spans="1:4" ht="14.25" customHeight="1" x14ac:dyDescent="0.2">
      <c r="A483" s="82"/>
      <c r="B483" s="83" t="e">
        <f t="shared" si="2"/>
        <v>#REF!</v>
      </c>
      <c r="C483" s="96" t="e">
        <f t="shared" si="3"/>
        <v>#REF!</v>
      </c>
      <c r="D483" s="87"/>
    </row>
    <row r="484" spans="1:4" ht="14.25" customHeight="1" x14ac:dyDescent="0.2">
      <c r="A484" s="82"/>
      <c r="B484" s="83" t="e">
        <f t="shared" si="2"/>
        <v>#REF!</v>
      </c>
      <c r="C484" s="96" t="e">
        <f t="shared" si="3"/>
        <v>#REF!</v>
      </c>
      <c r="D484" s="87"/>
    </row>
    <row r="485" spans="1:4" ht="14.25" customHeight="1" x14ac:dyDescent="0.2">
      <c r="A485" s="82"/>
      <c r="B485" s="83" t="e">
        <f t="shared" si="2"/>
        <v>#REF!</v>
      </c>
      <c r="C485" s="96" t="e">
        <f t="shared" si="3"/>
        <v>#REF!</v>
      </c>
      <c r="D485" s="87"/>
    </row>
    <row r="486" spans="1:4" ht="14.25" customHeight="1" x14ac:dyDescent="0.2">
      <c r="A486" s="82"/>
      <c r="B486" s="83" t="e">
        <f t="shared" si="2"/>
        <v>#REF!</v>
      </c>
      <c r="C486" s="96" t="e">
        <f t="shared" si="3"/>
        <v>#REF!</v>
      </c>
      <c r="D486" s="87"/>
    </row>
    <row r="487" spans="1:4" ht="14.25" customHeight="1" x14ac:dyDescent="0.2">
      <c r="A487" s="82"/>
      <c r="B487" s="83" t="e">
        <f t="shared" si="2"/>
        <v>#REF!</v>
      </c>
      <c r="C487" s="96" t="e">
        <f t="shared" si="3"/>
        <v>#REF!</v>
      </c>
      <c r="D487" s="87"/>
    </row>
    <row r="488" spans="1:4" ht="14.25" customHeight="1" x14ac:dyDescent="0.2">
      <c r="A488" s="82"/>
      <c r="B488" s="83" t="e">
        <f t="shared" si="2"/>
        <v>#REF!</v>
      </c>
      <c r="C488" s="96" t="e">
        <f t="shared" si="3"/>
        <v>#REF!</v>
      </c>
      <c r="D488" s="87"/>
    </row>
    <row r="489" spans="1:4" ht="14.25" customHeight="1" x14ac:dyDescent="0.2">
      <c r="A489" s="82"/>
      <c r="B489" s="83" t="e">
        <f t="shared" si="2"/>
        <v>#REF!</v>
      </c>
      <c r="C489" s="96" t="e">
        <f t="shared" si="3"/>
        <v>#REF!</v>
      </c>
      <c r="D489" s="87"/>
    </row>
    <row r="490" spans="1:4" ht="14.25" customHeight="1" x14ac:dyDescent="0.2">
      <c r="A490" s="82"/>
      <c r="B490" s="83" t="e">
        <f t="shared" si="2"/>
        <v>#REF!</v>
      </c>
      <c r="C490" s="96" t="e">
        <f t="shared" si="3"/>
        <v>#REF!</v>
      </c>
      <c r="D490" s="87"/>
    </row>
    <row r="491" spans="1:4" ht="14.25" customHeight="1" x14ac:dyDescent="0.2">
      <c r="A491" s="82"/>
      <c r="B491" s="83" t="e">
        <f t="shared" si="2"/>
        <v>#REF!</v>
      </c>
      <c r="C491" s="96" t="e">
        <f t="shared" si="3"/>
        <v>#REF!</v>
      </c>
      <c r="D491" s="87"/>
    </row>
    <row r="492" spans="1:4" ht="14.25" customHeight="1" x14ac:dyDescent="0.2">
      <c r="A492" s="82"/>
      <c r="B492" s="83" t="e">
        <f t="shared" si="2"/>
        <v>#REF!</v>
      </c>
      <c r="C492" s="96" t="e">
        <f t="shared" si="3"/>
        <v>#REF!</v>
      </c>
      <c r="D492" s="87"/>
    </row>
    <row r="493" spans="1:4" ht="14.25" customHeight="1" x14ac:dyDescent="0.2">
      <c r="A493" s="82"/>
      <c r="B493" s="83" t="e">
        <f t="shared" si="2"/>
        <v>#REF!</v>
      </c>
      <c r="C493" s="96" t="e">
        <f t="shared" si="3"/>
        <v>#REF!</v>
      </c>
      <c r="D493" s="87"/>
    </row>
    <row r="494" spans="1:4" ht="14.25" customHeight="1" x14ac:dyDescent="0.2">
      <c r="A494" s="82"/>
      <c r="B494" s="83" t="e">
        <f t="shared" si="2"/>
        <v>#REF!</v>
      </c>
      <c r="C494" s="96" t="e">
        <f t="shared" si="3"/>
        <v>#REF!</v>
      </c>
      <c r="D494" s="87"/>
    </row>
    <row r="495" spans="1:4" ht="14.25" customHeight="1" x14ac:dyDescent="0.2">
      <c r="A495" s="82"/>
      <c r="B495" s="83" t="e">
        <f t="shared" si="2"/>
        <v>#REF!</v>
      </c>
      <c r="C495" s="96" t="e">
        <f t="shared" si="3"/>
        <v>#REF!</v>
      </c>
      <c r="D495" s="87"/>
    </row>
    <row r="496" spans="1:4" ht="14.25" customHeight="1" x14ac:dyDescent="0.2">
      <c r="A496" s="82"/>
      <c r="B496" s="83" t="e">
        <f t="shared" si="2"/>
        <v>#REF!</v>
      </c>
      <c r="C496" s="96" t="e">
        <f t="shared" si="3"/>
        <v>#REF!</v>
      </c>
      <c r="D496" s="87"/>
    </row>
    <row r="497" spans="1:4" ht="14.25" customHeight="1" x14ac:dyDescent="0.2">
      <c r="A497" s="82"/>
      <c r="B497" s="83" t="e">
        <f t="shared" si="2"/>
        <v>#REF!</v>
      </c>
      <c r="C497" s="96" t="e">
        <f t="shared" si="3"/>
        <v>#REF!</v>
      </c>
      <c r="D497" s="87"/>
    </row>
    <row r="498" spans="1:4" ht="14.25" customHeight="1" x14ac:dyDescent="0.2">
      <c r="A498" s="82"/>
      <c r="B498" s="83" t="e">
        <f t="shared" si="2"/>
        <v>#REF!</v>
      </c>
      <c r="C498" s="96" t="e">
        <f t="shared" si="3"/>
        <v>#REF!</v>
      </c>
      <c r="D498" s="87"/>
    </row>
    <row r="499" spans="1:4" ht="14.25" customHeight="1" x14ac:dyDescent="0.2">
      <c r="A499" s="82"/>
      <c r="B499" s="83" t="e">
        <f t="shared" si="2"/>
        <v>#REF!</v>
      </c>
      <c r="C499" s="96" t="e">
        <f t="shared" si="3"/>
        <v>#REF!</v>
      </c>
      <c r="D499" s="87"/>
    </row>
    <row r="500" spans="1:4" ht="14.25" customHeight="1" x14ac:dyDescent="0.2">
      <c r="A500" s="82"/>
      <c r="B500" s="83" t="e">
        <f t="shared" si="2"/>
        <v>#REF!</v>
      </c>
      <c r="C500" s="96" t="e">
        <f t="shared" si="3"/>
        <v>#REF!</v>
      </c>
      <c r="D500" s="87"/>
    </row>
    <row r="501" spans="1:4" ht="14.25" customHeight="1" x14ac:dyDescent="0.2">
      <c r="A501" s="82"/>
      <c r="B501" s="83" t="e">
        <f t="shared" si="2"/>
        <v>#REF!</v>
      </c>
      <c r="C501" s="96" t="e">
        <f t="shared" si="3"/>
        <v>#REF!</v>
      </c>
      <c r="D501" s="87"/>
    </row>
    <row r="502" spans="1:4" ht="14.25" customHeight="1" x14ac:dyDescent="0.2">
      <c r="A502" s="82"/>
      <c r="B502" s="83" t="e">
        <f t="shared" si="2"/>
        <v>#REF!</v>
      </c>
      <c r="C502" s="96" t="e">
        <f t="shared" si="3"/>
        <v>#REF!</v>
      </c>
      <c r="D502" s="87"/>
    </row>
    <row r="503" spans="1:4" ht="14.25" customHeight="1" x14ac:dyDescent="0.2">
      <c r="A503" s="82"/>
      <c r="B503" s="83" t="e">
        <f t="shared" si="2"/>
        <v>#REF!</v>
      </c>
      <c r="C503" s="96" t="e">
        <f t="shared" si="3"/>
        <v>#REF!</v>
      </c>
      <c r="D503" s="87"/>
    </row>
    <row r="504" spans="1:4" ht="14.25" customHeight="1" x14ac:dyDescent="0.2">
      <c r="A504" s="82"/>
      <c r="B504" s="83" t="e">
        <f t="shared" si="2"/>
        <v>#REF!</v>
      </c>
      <c r="C504" s="96" t="e">
        <f t="shared" si="3"/>
        <v>#REF!</v>
      </c>
      <c r="D504" s="87"/>
    </row>
    <row r="505" spans="1:4" ht="14.25" customHeight="1" x14ac:dyDescent="0.2">
      <c r="A505" s="82"/>
      <c r="B505" s="83" t="e">
        <f t="shared" si="2"/>
        <v>#REF!</v>
      </c>
      <c r="C505" s="96" t="e">
        <f t="shared" si="3"/>
        <v>#REF!</v>
      </c>
      <c r="D505" s="87"/>
    </row>
    <row r="506" spans="1:4" ht="14.25" customHeight="1" x14ac:dyDescent="0.2">
      <c r="A506" s="82"/>
      <c r="B506" s="83" t="e">
        <f t="shared" si="2"/>
        <v>#REF!</v>
      </c>
      <c r="C506" s="96" t="e">
        <f t="shared" si="3"/>
        <v>#REF!</v>
      </c>
      <c r="D506" s="87"/>
    </row>
    <row r="507" spans="1:4" ht="14.25" customHeight="1" x14ac:dyDescent="0.2">
      <c r="A507" s="82"/>
      <c r="B507" s="83" t="e">
        <f t="shared" si="2"/>
        <v>#REF!</v>
      </c>
      <c r="C507" s="96" t="e">
        <f t="shared" si="3"/>
        <v>#REF!</v>
      </c>
      <c r="D507" s="87"/>
    </row>
    <row r="508" spans="1:4" ht="14.25" customHeight="1" x14ac:dyDescent="0.2">
      <c r="A508" s="82"/>
      <c r="B508" s="83" t="e">
        <f t="shared" si="2"/>
        <v>#REF!</v>
      </c>
      <c r="C508" s="96" t="e">
        <f t="shared" si="3"/>
        <v>#REF!</v>
      </c>
      <c r="D508" s="87"/>
    </row>
    <row r="509" spans="1:4" ht="14.25" customHeight="1" x14ac:dyDescent="0.2">
      <c r="A509" s="82"/>
      <c r="B509" s="83" t="e">
        <f t="shared" si="2"/>
        <v>#REF!</v>
      </c>
      <c r="C509" s="96" t="e">
        <f t="shared" si="3"/>
        <v>#REF!</v>
      </c>
      <c r="D509" s="87"/>
    </row>
    <row r="510" spans="1:4" ht="14.25" customHeight="1" x14ac:dyDescent="0.2">
      <c r="A510" s="82"/>
      <c r="B510" s="83" t="e">
        <f t="shared" si="2"/>
        <v>#REF!</v>
      </c>
      <c r="C510" s="96" t="e">
        <f t="shared" si="3"/>
        <v>#REF!</v>
      </c>
      <c r="D510" s="87"/>
    </row>
    <row r="511" spans="1:4" ht="14.25" customHeight="1" x14ac:dyDescent="0.2">
      <c r="A511" s="82"/>
      <c r="B511" s="83" t="e">
        <f t="shared" si="2"/>
        <v>#REF!</v>
      </c>
      <c r="C511" s="96" t="e">
        <f t="shared" si="3"/>
        <v>#REF!</v>
      </c>
      <c r="D511" s="87"/>
    </row>
    <row r="512" spans="1:4" ht="14.25" customHeight="1" x14ac:dyDescent="0.2">
      <c r="A512" s="82"/>
      <c r="B512" s="83" t="e">
        <f t="shared" si="2"/>
        <v>#REF!</v>
      </c>
      <c r="C512" s="96" t="e">
        <f t="shared" si="3"/>
        <v>#REF!</v>
      </c>
      <c r="D512" s="87"/>
    </row>
    <row r="513" spans="1:4" ht="14.25" customHeight="1" x14ac:dyDescent="0.2">
      <c r="A513" s="82"/>
      <c r="B513" s="83" t="e">
        <f t="shared" si="2"/>
        <v>#REF!</v>
      </c>
      <c r="C513" s="96" t="e">
        <f t="shared" si="3"/>
        <v>#REF!</v>
      </c>
      <c r="D513" s="87"/>
    </row>
    <row r="514" spans="1:4" ht="14.25" customHeight="1" x14ac:dyDescent="0.2">
      <c r="A514" s="82"/>
      <c r="B514" s="83" t="e">
        <f t="shared" si="2"/>
        <v>#REF!</v>
      </c>
      <c r="C514" s="96" t="e">
        <f t="shared" si="3"/>
        <v>#REF!</v>
      </c>
      <c r="D514" s="87"/>
    </row>
    <row r="515" spans="1:4" ht="14.25" customHeight="1" x14ac:dyDescent="0.2">
      <c r="A515" s="82"/>
      <c r="B515" s="83" t="e">
        <f t="shared" si="2"/>
        <v>#REF!</v>
      </c>
      <c r="C515" s="96" t="e">
        <f t="shared" si="3"/>
        <v>#REF!</v>
      </c>
      <c r="D515" s="87"/>
    </row>
    <row r="516" spans="1:4" ht="14.25" customHeight="1" x14ac:dyDescent="0.2">
      <c r="A516" s="82"/>
      <c r="B516" s="83" t="e">
        <f t="shared" si="2"/>
        <v>#REF!</v>
      </c>
      <c r="C516" s="96" t="e">
        <f t="shared" si="3"/>
        <v>#REF!</v>
      </c>
      <c r="D516" s="87"/>
    </row>
    <row r="517" spans="1:4" ht="14.25" customHeight="1" x14ac:dyDescent="0.2">
      <c r="A517" s="82"/>
      <c r="B517" s="83" t="e">
        <f t="shared" si="2"/>
        <v>#REF!</v>
      </c>
      <c r="C517" s="96" t="e">
        <f t="shared" si="3"/>
        <v>#REF!</v>
      </c>
      <c r="D517" s="87"/>
    </row>
    <row r="518" spans="1:4" ht="14.25" customHeight="1" x14ac:dyDescent="0.2">
      <c r="A518" s="82"/>
      <c r="B518" s="83" t="e">
        <f t="shared" si="2"/>
        <v>#REF!</v>
      </c>
      <c r="C518" s="96" t="e">
        <f t="shared" si="3"/>
        <v>#REF!</v>
      </c>
      <c r="D518" s="87"/>
    </row>
    <row r="519" spans="1:4" ht="14.25" customHeight="1" x14ac:dyDescent="0.2">
      <c r="A519" s="82"/>
      <c r="B519" s="83" t="e">
        <f t="shared" si="2"/>
        <v>#REF!</v>
      </c>
      <c r="C519" s="96" t="e">
        <f t="shared" si="3"/>
        <v>#REF!</v>
      </c>
      <c r="D519" s="87"/>
    </row>
    <row r="520" spans="1:4" ht="14.25" customHeight="1" x14ac:dyDescent="0.2">
      <c r="A520" s="82"/>
      <c r="B520" s="83" t="e">
        <f t="shared" si="2"/>
        <v>#REF!</v>
      </c>
      <c r="C520" s="96" t="e">
        <f t="shared" si="3"/>
        <v>#REF!</v>
      </c>
      <c r="D520" s="87"/>
    </row>
    <row r="521" spans="1:4" ht="14.25" customHeight="1" x14ac:dyDescent="0.2">
      <c r="A521" s="82"/>
      <c r="B521" s="83" t="e">
        <f t="shared" si="2"/>
        <v>#REF!</v>
      </c>
      <c r="C521" s="96" t="e">
        <f t="shared" si="3"/>
        <v>#REF!</v>
      </c>
      <c r="D521" s="87"/>
    </row>
    <row r="522" spans="1:4" ht="14.25" customHeight="1" x14ac:dyDescent="0.2">
      <c r="A522" s="82"/>
      <c r="B522" s="83" t="e">
        <f t="shared" si="2"/>
        <v>#REF!</v>
      </c>
      <c r="C522" s="96" t="e">
        <f t="shared" si="3"/>
        <v>#REF!</v>
      </c>
      <c r="D522" s="87"/>
    </row>
    <row r="523" spans="1:4" ht="14.25" customHeight="1" x14ac:dyDescent="0.2">
      <c r="A523" s="82"/>
      <c r="B523" s="83" t="e">
        <f t="shared" si="2"/>
        <v>#REF!</v>
      </c>
      <c r="C523" s="96" t="e">
        <f t="shared" si="3"/>
        <v>#REF!</v>
      </c>
      <c r="D523" s="87"/>
    </row>
    <row r="524" spans="1:4" ht="14.25" customHeight="1" x14ac:dyDescent="0.2">
      <c r="A524" s="82"/>
      <c r="B524" s="83" t="e">
        <f t="shared" si="2"/>
        <v>#REF!</v>
      </c>
      <c r="C524" s="96" t="e">
        <f t="shared" si="3"/>
        <v>#REF!</v>
      </c>
      <c r="D524" s="87"/>
    </row>
    <row r="525" spans="1:4" ht="14.25" customHeight="1" x14ac:dyDescent="0.2">
      <c r="A525" s="82"/>
      <c r="B525" s="83" t="e">
        <f t="shared" si="2"/>
        <v>#REF!</v>
      </c>
      <c r="C525" s="96" t="e">
        <f t="shared" si="3"/>
        <v>#REF!</v>
      </c>
      <c r="D525" s="87"/>
    </row>
    <row r="526" spans="1:4" ht="14.25" customHeight="1" x14ac:dyDescent="0.2">
      <c r="A526" s="82"/>
      <c r="B526" s="83" t="e">
        <f t="shared" si="2"/>
        <v>#REF!</v>
      </c>
      <c r="C526" s="96" t="e">
        <f t="shared" si="3"/>
        <v>#REF!</v>
      </c>
      <c r="D526" s="87"/>
    </row>
    <row r="527" spans="1:4" ht="14.25" customHeight="1" x14ac:dyDescent="0.2">
      <c r="A527" s="82"/>
      <c r="B527" s="83" t="e">
        <f t="shared" si="2"/>
        <v>#REF!</v>
      </c>
      <c r="C527" s="96" t="e">
        <f t="shared" si="3"/>
        <v>#REF!</v>
      </c>
      <c r="D527" s="87"/>
    </row>
    <row r="528" spans="1:4" ht="14.25" customHeight="1" x14ac:dyDescent="0.2">
      <c r="A528" s="82"/>
      <c r="B528" s="83" t="e">
        <f t="shared" si="2"/>
        <v>#REF!</v>
      </c>
      <c r="C528" s="96" t="e">
        <f t="shared" si="3"/>
        <v>#REF!</v>
      </c>
      <c r="D528" s="87"/>
    </row>
    <row r="529" spans="1:4" ht="14.25" customHeight="1" x14ac:dyDescent="0.2">
      <c r="A529" s="82"/>
      <c r="B529" s="83" t="e">
        <f t="shared" si="2"/>
        <v>#REF!</v>
      </c>
      <c r="C529" s="96" t="e">
        <f t="shared" si="3"/>
        <v>#REF!</v>
      </c>
      <c r="D529" s="87"/>
    </row>
    <row r="530" spans="1:4" ht="14.25" customHeight="1" x14ac:dyDescent="0.2">
      <c r="A530" s="82"/>
      <c r="B530" s="83" t="e">
        <f t="shared" si="2"/>
        <v>#REF!</v>
      </c>
      <c r="C530" s="96" t="e">
        <f t="shared" si="3"/>
        <v>#REF!</v>
      </c>
      <c r="D530" s="87"/>
    </row>
    <row r="531" spans="1:4" ht="14.25" customHeight="1" x14ac:dyDescent="0.2">
      <c r="A531" s="82"/>
      <c r="B531" s="83" t="e">
        <f t="shared" si="2"/>
        <v>#REF!</v>
      </c>
      <c r="C531" s="96" t="e">
        <f t="shared" si="3"/>
        <v>#REF!</v>
      </c>
      <c r="D531" s="87"/>
    </row>
    <row r="532" spans="1:4" ht="14.25" customHeight="1" x14ac:dyDescent="0.2">
      <c r="A532" s="82"/>
      <c r="B532" s="83" t="e">
        <f t="shared" si="2"/>
        <v>#REF!</v>
      </c>
      <c r="C532" s="96" t="e">
        <f t="shared" si="3"/>
        <v>#REF!</v>
      </c>
      <c r="D532" s="87"/>
    </row>
    <row r="533" spans="1:4" ht="14.25" customHeight="1" x14ac:dyDescent="0.2">
      <c r="A533" s="82"/>
      <c r="B533" s="83" t="e">
        <f t="shared" si="2"/>
        <v>#REF!</v>
      </c>
      <c r="C533" s="96" t="e">
        <f t="shared" si="3"/>
        <v>#REF!</v>
      </c>
      <c r="D533" s="87"/>
    </row>
    <row r="534" spans="1:4" ht="14.25" customHeight="1" x14ac:dyDescent="0.2">
      <c r="A534" s="82"/>
      <c r="B534" s="83" t="e">
        <f t="shared" si="2"/>
        <v>#REF!</v>
      </c>
      <c r="C534" s="96" t="e">
        <f t="shared" si="3"/>
        <v>#REF!</v>
      </c>
      <c r="D534" s="87"/>
    </row>
    <row r="535" spans="1:4" ht="14.25" customHeight="1" x14ac:dyDescent="0.2">
      <c r="A535" s="82"/>
      <c r="B535" s="83" t="e">
        <f t="shared" si="2"/>
        <v>#REF!</v>
      </c>
      <c r="C535" s="96" t="e">
        <f t="shared" si="3"/>
        <v>#REF!</v>
      </c>
      <c r="D535" s="87"/>
    </row>
    <row r="536" spans="1:4" ht="14.25" customHeight="1" x14ac:dyDescent="0.2">
      <c r="A536" s="82"/>
      <c r="B536" s="83" t="e">
        <f t="shared" si="2"/>
        <v>#REF!</v>
      </c>
      <c r="C536" s="96" t="e">
        <f t="shared" si="3"/>
        <v>#REF!</v>
      </c>
      <c r="D536" s="87"/>
    </row>
    <row r="537" spans="1:4" ht="14.25" customHeight="1" x14ac:dyDescent="0.2">
      <c r="A537" s="82"/>
      <c r="B537" s="83" t="e">
        <f t="shared" si="2"/>
        <v>#REF!</v>
      </c>
      <c r="C537" s="96" t="e">
        <f t="shared" si="3"/>
        <v>#REF!</v>
      </c>
      <c r="D537" s="87"/>
    </row>
    <row r="538" spans="1:4" ht="14.25" customHeight="1" x14ac:dyDescent="0.2">
      <c r="A538" s="82"/>
      <c r="B538" s="83" t="e">
        <f t="shared" si="2"/>
        <v>#REF!</v>
      </c>
      <c r="C538" s="96" t="e">
        <f t="shared" si="3"/>
        <v>#REF!</v>
      </c>
      <c r="D538" s="87"/>
    </row>
    <row r="539" spans="1:4" ht="14.25" customHeight="1" x14ac:dyDescent="0.2">
      <c r="A539" s="82"/>
      <c r="B539" s="83" t="e">
        <f t="shared" si="2"/>
        <v>#REF!</v>
      </c>
      <c r="C539" s="96" t="e">
        <f t="shared" si="3"/>
        <v>#REF!</v>
      </c>
      <c r="D539" s="87"/>
    </row>
    <row r="540" spans="1:4" ht="14.25" customHeight="1" x14ac:dyDescent="0.2">
      <c r="A540" s="82"/>
      <c r="B540" s="83" t="e">
        <f t="shared" si="2"/>
        <v>#REF!</v>
      </c>
      <c r="C540" s="96" t="e">
        <f t="shared" si="3"/>
        <v>#REF!</v>
      </c>
      <c r="D540" s="87"/>
    </row>
    <row r="541" spans="1:4" ht="14.25" customHeight="1" x14ac:dyDescent="0.2">
      <c r="A541" s="82"/>
      <c r="B541" s="83" t="e">
        <f t="shared" si="2"/>
        <v>#REF!</v>
      </c>
      <c r="C541" s="96" t="e">
        <f t="shared" si="3"/>
        <v>#REF!</v>
      </c>
      <c r="D541" s="87"/>
    </row>
    <row r="542" spans="1:4" ht="14.25" customHeight="1" x14ac:dyDescent="0.2">
      <c r="A542" s="82"/>
      <c r="B542" s="83" t="e">
        <f t="shared" si="2"/>
        <v>#REF!</v>
      </c>
      <c r="C542" s="96" t="e">
        <f t="shared" si="3"/>
        <v>#REF!</v>
      </c>
      <c r="D542" s="87"/>
    </row>
    <row r="543" spans="1:4" ht="14.25" customHeight="1" x14ac:dyDescent="0.2">
      <c r="A543" s="82"/>
      <c r="B543" s="83" t="e">
        <f t="shared" si="2"/>
        <v>#REF!</v>
      </c>
      <c r="C543" s="96" t="e">
        <f t="shared" si="3"/>
        <v>#REF!</v>
      </c>
      <c r="D543" s="87"/>
    </row>
    <row r="544" spans="1:4" ht="14.25" customHeight="1" x14ac:dyDescent="0.2">
      <c r="A544" s="82"/>
      <c r="B544" s="83" t="e">
        <f t="shared" si="2"/>
        <v>#REF!</v>
      </c>
      <c r="C544" s="96" t="e">
        <f t="shared" si="3"/>
        <v>#REF!</v>
      </c>
      <c r="D544" s="87"/>
    </row>
    <row r="545" spans="1:4" ht="14.25" customHeight="1" x14ac:dyDescent="0.2">
      <c r="A545" s="82"/>
      <c r="B545" s="83" t="e">
        <f t="shared" si="2"/>
        <v>#REF!</v>
      </c>
      <c r="C545" s="96" t="e">
        <f t="shared" si="3"/>
        <v>#REF!</v>
      </c>
      <c r="D545" s="87"/>
    </row>
    <row r="546" spans="1:4" ht="14.25" customHeight="1" x14ac:dyDescent="0.2">
      <c r="A546" s="82"/>
      <c r="B546" s="83" t="e">
        <f t="shared" si="2"/>
        <v>#REF!</v>
      </c>
      <c r="C546" s="96" t="e">
        <f t="shared" si="3"/>
        <v>#REF!</v>
      </c>
      <c r="D546" s="87"/>
    </row>
    <row r="547" spans="1:4" ht="14.25" customHeight="1" x14ac:dyDescent="0.2">
      <c r="A547" s="82"/>
      <c r="B547" s="83" t="e">
        <f t="shared" si="2"/>
        <v>#REF!</v>
      </c>
      <c r="C547" s="96" t="e">
        <f t="shared" si="3"/>
        <v>#REF!</v>
      </c>
      <c r="D547" s="87"/>
    </row>
    <row r="548" spans="1:4" ht="14.25" customHeight="1" x14ac:dyDescent="0.2">
      <c r="A548" s="82"/>
      <c r="B548" s="83" t="e">
        <f t="shared" si="2"/>
        <v>#REF!</v>
      </c>
      <c r="C548" s="96" t="e">
        <f t="shared" si="3"/>
        <v>#REF!</v>
      </c>
      <c r="D548" s="87"/>
    </row>
    <row r="549" spans="1:4" ht="14.25" customHeight="1" x14ac:dyDescent="0.2">
      <c r="A549" s="82"/>
      <c r="B549" s="83" t="e">
        <f t="shared" si="2"/>
        <v>#REF!</v>
      </c>
      <c r="C549" s="96" t="e">
        <f t="shared" si="3"/>
        <v>#REF!</v>
      </c>
      <c r="D549" s="87"/>
    </row>
    <row r="550" spans="1:4" ht="14.25" customHeight="1" x14ac:dyDescent="0.2">
      <c r="A550" s="82"/>
      <c r="B550" s="83" t="e">
        <f t="shared" si="2"/>
        <v>#REF!</v>
      </c>
      <c r="C550" s="96" t="e">
        <f t="shared" si="3"/>
        <v>#REF!</v>
      </c>
      <c r="D550" s="87"/>
    </row>
    <row r="551" spans="1:4" ht="14.25" customHeight="1" x14ac:dyDescent="0.2">
      <c r="A551" s="82"/>
      <c r="B551" s="83" t="e">
        <f t="shared" si="2"/>
        <v>#REF!</v>
      </c>
      <c r="C551" s="96" t="e">
        <f t="shared" si="3"/>
        <v>#REF!</v>
      </c>
      <c r="D551" s="87"/>
    </row>
    <row r="552" spans="1:4" ht="14.25" customHeight="1" x14ac:dyDescent="0.2">
      <c r="A552" s="82"/>
      <c r="B552" s="83" t="e">
        <f t="shared" si="2"/>
        <v>#REF!</v>
      </c>
      <c r="C552" s="96" t="e">
        <f t="shared" si="3"/>
        <v>#REF!</v>
      </c>
      <c r="D552" s="87"/>
    </row>
    <row r="553" spans="1:4" ht="14.25" customHeight="1" x14ac:dyDescent="0.2">
      <c r="A553" s="82"/>
      <c r="B553" s="83" t="e">
        <f t="shared" si="2"/>
        <v>#REF!</v>
      </c>
      <c r="C553" s="96" t="e">
        <f t="shared" si="3"/>
        <v>#REF!</v>
      </c>
      <c r="D553" s="87"/>
    </row>
    <row r="554" spans="1:4" ht="14.25" customHeight="1" x14ac:dyDescent="0.2">
      <c r="A554" s="82"/>
      <c r="B554" s="83" t="e">
        <f t="shared" si="2"/>
        <v>#REF!</v>
      </c>
      <c r="C554" s="96" t="e">
        <f t="shared" si="3"/>
        <v>#REF!</v>
      </c>
      <c r="D554" s="87"/>
    </row>
    <row r="555" spans="1:4" ht="14.25" customHeight="1" x14ac:dyDescent="0.2">
      <c r="A555" s="82"/>
      <c r="B555" s="83" t="e">
        <f t="shared" si="2"/>
        <v>#REF!</v>
      </c>
      <c r="C555" s="96" t="e">
        <f t="shared" si="3"/>
        <v>#REF!</v>
      </c>
      <c r="D555" s="87"/>
    </row>
    <row r="556" spans="1:4" ht="14.25" customHeight="1" x14ac:dyDescent="0.2">
      <c r="A556" s="82"/>
      <c r="B556" s="83" t="e">
        <f t="shared" si="2"/>
        <v>#REF!</v>
      </c>
      <c r="C556" s="96" t="e">
        <f t="shared" si="3"/>
        <v>#REF!</v>
      </c>
      <c r="D556" s="87"/>
    </row>
    <row r="557" spans="1:4" ht="14.25" customHeight="1" x14ac:dyDescent="0.2">
      <c r="A557" s="82"/>
      <c r="B557" s="83" t="e">
        <f t="shared" si="2"/>
        <v>#REF!</v>
      </c>
      <c r="C557" s="96" t="e">
        <f t="shared" si="3"/>
        <v>#REF!</v>
      </c>
      <c r="D557" s="87"/>
    </row>
    <row r="558" spans="1:4" ht="14.25" customHeight="1" x14ac:dyDescent="0.2">
      <c r="A558" s="82"/>
      <c r="B558" s="83" t="e">
        <f t="shared" si="2"/>
        <v>#REF!</v>
      </c>
      <c r="C558" s="96" t="e">
        <f t="shared" si="3"/>
        <v>#REF!</v>
      </c>
      <c r="D558" s="87"/>
    </row>
    <row r="559" spans="1:4" ht="14.25" customHeight="1" x14ac:dyDescent="0.2">
      <c r="A559" s="82"/>
      <c r="B559" s="83" t="e">
        <f t="shared" si="2"/>
        <v>#REF!</v>
      </c>
      <c r="C559" s="96" t="e">
        <f t="shared" si="3"/>
        <v>#REF!</v>
      </c>
      <c r="D559" s="87"/>
    </row>
    <row r="560" spans="1:4" ht="14.25" customHeight="1" x14ac:dyDescent="0.2">
      <c r="A560" s="82"/>
      <c r="B560" s="83" t="e">
        <f t="shared" si="2"/>
        <v>#REF!</v>
      </c>
      <c r="C560" s="96" t="e">
        <f t="shared" si="3"/>
        <v>#REF!</v>
      </c>
      <c r="D560" s="87"/>
    </row>
    <row r="561" spans="1:4" ht="14.25" customHeight="1" x14ac:dyDescent="0.2">
      <c r="A561" s="82"/>
      <c r="B561" s="83" t="e">
        <f t="shared" si="2"/>
        <v>#REF!</v>
      </c>
      <c r="C561" s="96" t="e">
        <f t="shared" si="3"/>
        <v>#REF!</v>
      </c>
      <c r="D561" s="87"/>
    </row>
    <row r="562" spans="1:4" ht="14.25" customHeight="1" x14ac:dyDescent="0.2">
      <c r="A562" s="82"/>
      <c r="B562" s="83" t="e">
        <f t="shared" si="2"/>
        <v>#REF!</v>
      </c>
      <c r="C562" s="96" t="e">
        <f t="shared" si="3"/>
        <v>#REF!</v>
      </c>
      <c r="D562" s="87"/>
    </row>
    <row r="563" spans="1:4" ht="14.25" customHeight="1" x14ac:dyDescent="0.2">
      <c r="A563" s="82"/>
      <c r="B563" s="83" t="e">
        <f t="shared" si="2"/>
        <v>#REF!</v>
      </c>
      <c r="C563" s="96" t="e">
        <f t="shared" si="3"/>
        <v>#REF!</v>
      </c>
      <c r="D563" s="87"/>
    </row>
    <row r="564" spans="1:4" ht="14.25" customHeight="1" x14ac:dyDescent="0.2">
      <c r="A564" s="82"/>
      <c r="B564" s="83" t="e">
        <f t="shared" si="2"/>
        <v>#REF!</v>
      </c>
      <c r="C564" s="96" t="e">
        <f t="shared" si="3"/>
        <v>#REF!</v>
      </c>
      <c r="D564" s="87"/>
    </row>
    <row r="565" spans="1:4" ht="14.25" customHeight="1" x14ac:dyDescent="0.2">
      <c r="A565" s="82"/>
      <c r="B565" s="83" t="e">
        <f t="shared" si="2"/>
        <v>#REF!</v>
      </c>
      <c r="C565" s="96" t="e">
        <f t="shared" si="3"/>
        <v>#REF!</v>
      </c>
      <c r="D565" s="87"/>
    </row>
    <row r="566" spans="1:4" ht="14.25" customHeight="1" x14ac:dyDescent="0.2">
      <c r="A566" s="82"/>
      <c r="B566" s="83" t="e">
        <f t="shared" si="2"/>
        <v>#REF!</v>
      </c>
      <c r="C566" s="96" t="e">
        <f t="shared" si="3"/>
        <v>#REF!</v>
      </c>
      <c r="D566" s="87"/>
    </row>
    <row r="567" spans="1:4" ht="14.25" customHeight="1" x14ac:dyDescent="0.2">
      <c r="A567" s="82"/>
      <c r="B567" s="83" t="e">
        <f t="shared" si="2"/>
        <v>#REF!</v>
      </c>
      <c r="C567" s="96" t="e">
        <f t="shared" si="3"/>
        <v>#REF!</v>
      </c>
      <c r="D567" s="87"/>
    </row>
    <row r="568" spans="1:4" ht="14.25" customHeight="1" x14ac:dyDescent="0.2">
      <c r="A568" s="82"/>
      <c r="B568" s="83" t="e">
        <f t="shared" si="2"/>
        <v>#REF!</v>
      </c>
      <c r="C568" s="96" t="e">
        <f t="shared" si="3"/>
        <v>#REF!</v>
      </c>
      <c r="D568" s="87"/>
    </row>
    <row r="569" spans="1:4" ht="14.25" customHeight="1" x14ac:dyDescent="0.2">
      <c r="A569" s="82"/>
      <c r="B569" s="83" t="e">
        <f t="shared" si="2"/>
        <v>#REF!</v>
      </c>
      <c r="C569" s="96" t="e">
        <f t="shared" si="3"/>
        <v>#REF!</v>
      </c>
      <c r="D569" s="87"/>
    </row>
    <row r="570" spans="1:4" ht="14.25" customHeight="1" x14ac:dyDescent="0.2">
      <c r="A570" s="82"/>
      <c r="B570" s="83" t="e">
        <f t="shared" si="2"/>
        <v>#REF!</v>
      </c>
      <c r="C570" s="96" t="e">
        <f t="shared" si="3"/>
        <v>#REF!</v>
      </c>
      <c r="D570" s="87"/>
    </row>
    <row r="571" spans="1:4" ht="14.25" customHeight="1" x14ac:dyDescent="0.2">
      <c r="A571" s="82"/>
      <c r="B571" s="83" t="e">
        <f t="shared" si="2"/>
        <v>#REF!</v>
      </c>
      <c r="C571" s="96" t="e">
        <f t="shared" si="3"/>
        <v>#REF!</v>
      </c>
      <c r="D571" s="87"/>
    </row>
    <row r="572" spans="1:4" ht="14.25" customHeight="1" x14ac:dyDescent="0.2">
      <c r="A572" s="82"/>
      <c r="B572" s="83" t="e">
        <f t="shared" si="2"/>
        <v>#REF!</v>
      </c>
      <c r="C572" s="96" t="e">
        <f t="shared" si="3"/>
        <v>#REF!</v>
      </c>
      <c r="D572" s="87"/>
    </row>
    <row r="573" spans="1:4" ht="14.25" customHeight="1" x14ac:dyDescent="0.2">
      <c r="A573" s="82"/>
      <c r="B573" s="83" t="e">
        <f t="shared" si="2"/>
        <v>#REF!</v>
      </c>
      <c r="C573" s="96" t="e">
        <f t="shared" si="3"/>
        <v>#REF!</v>
      </c>
      <c r="D573" s="87"/>
    </row>
    <row r="574" spans="1:4" ht="14.25" customHeight="1" x14ac:dyDescent="0.2">
      <c r="A574" s="82"/>
      <c r="B574" s="83" t="e">
        <f t="shared" si="2"/>
        <v>#REF!</v>
      </c>
      <c r="C574" s="96" t="e">
        <f t="shared" si="3"/>
        <v>#REF!</v>
      </c>
      <c r="D574" s="87"/>
    </row>
    <row r="575" spans="1:4" ht="14.25" customHeight="1" x14ac:dyDescent="0.2">
      <c r="A575" s="82"/>
      <c r="B575" s="83" t="e">
        <f t="shared" si="2"/>
        <v>#REF!</v>
      </c>
      <c r="C575" s="96" t="e">
        <f t="shared" si="3"/>
        <v>#REF!</v>
      </c>
      <c r="D575" s="87"/>
    </row>
    <row r="576" spans="1:4" ht="14.25" customHeight="1" x14ac:dyDescent="0.2">
      <c r="A576" s="82"/>
      <c r="B576" s="83" t="e">
        <f t="shared" si="2"/>
        <v>#REF!</v>
      </c>
      <c r="C576" s="96" t="e">
        <f t="shared" si="3"/>
        <v>#REF!</v>
      </c>
      <c r="D576" s="87"/>
    </row>
    <row r="577" spans="1:4" ht="14.25" customHeight="1" x14ac:dyDescent="0.2">
      <c r="A577" s="82"/>
      <c r="B577" s="83" t="e">
        <f t="shared" si="2"/>
        <v>#REF!</v>
      </c>
      <c r="C577" s="96" t="e">
        <f t="shared" si="3"/>
        <v>#REF!</v>
      </c>
      <c r="D577" s="87"/>
    </row>
    <row r="578" spans="1:4" ht="14.25" customHeight="1" x14ac:dyDescent="0.2">
      <c r="A578" s="82"/>
      <c r="B578" s="83" t="e">
        <f t="shared" si="2"/>
        <v>#REF!</v>
      </c>
      <c r="C578" s="96" t="e">
        <f t="shared" si="3"/>
        <v>#REF!</v>
      </c>
      <c r="D578" s="87"/>
    </row>
    <row r="579" spans="1:4" ht="14.25" customHeight="1" x14ac:dyDescent="0.2">
      <c r="A579" s="82"/>
      <c r="B579" s="83" t="e">
        <f t="shared" si="2"/>
        <v>#REF!</v>
      </c>
      <c r="C579" s="96" t="e">
        <f t="shared" si="3"/>
        <v>#REF!</v>
      </c>
      <c r="D579" s="87"/>
    </row>
    <row r="580" spans="1:4" ht="14.25" customHeight="1" x14ac:dyDescent="0.2">
      <c r="A580" s="82"/>
      <c r="B580" s="83" t="e">
        <f t="shared" si="2"/>
        <v>#REF!</v>
      </c>
      <c r="C580" s="96" t="e">
        <f t="shared" si="3"/>
        <v>#REF!</v>
      </c>
      <c r="D580" s="87"/>
    </row>
    <row r="581" spans="1:4" ht="14.25" customHeight="1" x14ac:dyDescent="0.2">
      <c r="A581" s="82"/>
      <c r="B581" s="83" t="e">
        <f t="shared" si="2"/>
        <v>#REF!</v>
      </c>
      <c r="C581" s="96" t="e">
        <f t="shared" si="3"/>
        <v>#REF!</v>
      </c>
      <c r="D581" s="87"/>
    </row>
    <row r="582" spans="1:4" ht="14.25" customHeight="1" x14ac:dyDescent="0.2">
      <c r="A582" s="82"/>
      <c r="B582" s="83" t="e">
        <f t="shared" si="2"/>
        <v>#REF!</v>
      </c>
      <c r="C582" s="96" t="e">
        <f t="shared" si="3"/>
        <v>#REF!</v>
      </c>
      <c r="D582" s="87"/>
    </row>
    <row r="583" spans="1:4" ht="14.25" customHeight="1" x14ac:dyDescent="0.2">
      <c r="A583" s="82"/>
      <c r="B583" s="83" t="e">
        <f t="shared" si="2"/>
        <v>#REF!</v>
      </c>
      <c r="C583" s="96" t="e">
        <f t="shared" si="3"/>
        <v>#REF!</v>
      </c>
      <c r="D583" s="87"/>
    </row>
    <row r="584" spans="1:4" ht="14.25" customHeight="1" x14ac:dyDescent="0.2">
      <c r="A584" s="82"/>
      <c r="B584" s="83" t="e">
        <f t="shared" si="2"/>
        <v>#REF!</v>
      </c>
      <c r="C584" s="96" t="e">
        <f t="shared" si="3"/>
        <v>#REF!</v>
      </c>
      <c r="D584" s="87"/>
    </row>
    <row r="585" spans="1:4" ht="14.25" customHeight="1" x14ac:dyDescent="0.2">
      <c r="A585" s="82"/>
      <c r="B585" s="83" t="e">
        <f t="shared" si="2"/>
        <v>#REF!</v>
      </c>
      <c r="C585" s="96" t="e">
        <f t="shared" si="3"/>
        <v>#REF!</v>
      </c>
      <c r="D585" s="87"/>
    </row>
    <row r="586" spans="1:4" ht="14.25" customHeight="1" x14ac:dyDescent="0.2">
      <c r="A586" s="82"/>
      <c r="B586" s="83" t="e">
        <f t="shared" si="2"/>
        <v>#REF!</v>
      </c>
      <c r="C586" s="96" t="e">
        <f t="shared" si="3"/>
        <v>#REF!</v>
      </c>
      <c r="D586" s="87"/>
    </row>
    <row r="587" spans="1:4" ht="14.25" customHeight="1" x14ac:dyDescent="0.2">
      <c r="A587" s="82"/>
      <c r="B587" s="83" t="e">
        <f t="shared" si="2"/>
        <v>#REF!</v>
      </c>
      <c r="C587" s="96" t="e">
        <f t="shared" si="3"/>
        <v>#REF!</v>
      </c>
      <c r="D587" s="87"/>
    </row>
    <row r="588" spans="1:4" ht="14.25" customHeight="1" x14ac:dyDescent="0.2">
      <c r="A588" s="82"/>
      <c r="B588" s="83" t="e">
        <f t="shared" si="2"/>
        <v>#REF!</v>
      </c>
      <c r="C588" s="96" t="e">
        <f t="shared" si="3"/>
        <v>#REF!</v>
      </c>
      <c r="D588" s="87"/>
    </row>
    <row r="589" spans="1:4" ht="14.25" customHeight="1" x14ac:dyDescent="0.2">
      <c r="A589" s="82"/>
      <c r="B589" s="83" t="e">
        <f t="shared" si="2"/>
        <v>#REF!</v>
      </c>
      <c r="C589" s="96" t="e">
        <f t="shared" si="3"/>
        <v>#REF!</v>
      </c>
      <c r="D589" s="87"/>
    </row>
    <row r="590" spans="1:4" ht="14.25" customHeight="1" x14ac:dyDescent="0.2">
      <c r="A590" s="82"/>
      <c r="B590" s="83" t="e">
        <f t="shared" si="2"/>
        <v>#REF!</v>
      </c>
      <c r="C590" s="96" t="e">
        <f t="shared" si="3"/>
        <v>#REF!</v>
      </c>
      <c r="D590" s="87"/>
    </row>
    <row r="591" spans="1:4" ht="14.25" customHeight="1" x14ac:dyDescent="0.2">
      <c r="A591" s="82"/>
      <c r="B591" s="83" t="e">
        <f t="shared" si="2"/>
        <v>#REF!</v>
      </c>
      <c r="C591" s="96" t="e">
        <f t="shared" si="3"/>
        <v>#REF!</v>
      </c>
      <c r="D591" s="87"/>
    </row>
    <row r="592" spans="1:4" ht="14.25" customHeight="1" x14ac:dyDescent="0.2">
      <c r="A592" s="82"/>
      <c r="B592" s="83" t="e">
        <f t="shared" si="2"/>
        <v>#REF!</v>
      </c>
      <c r="C592" s="96" t="e">
        <f t="shared" si="3"/>
        <v>#REF!</v>
      </c>
      <c r="D592" s="87"/>
    </row>
    <row r="593" spans="1:4" ht="14.25" customHeight="1" x14ac:dyDescent="0.2">
      <c r="A593" s="82"/>
      <c r="B593" s="83" t="e">
        <f t="shared" si="2"/>
        <v>#REF!</v>
      </c>
      <c r="C593" s="96" t="e">
        <f t="shared" si="3"/>
        <v>#REF!</v>
      </c>
      <c r="D593" s="87"/>
    </row>
    <row r="594" spans="1:4" ht="14.25" customHeight="1" x14ac:dyDescent="0.2">
      <c r="A594" s="82"/>
      <c r="B594" s="83" t="e">
        <f t="shared" si="2"/>
        <v>#REF!</v>
      </c>
      <c r="C594" s="96" t="e">
        <f t="shared" si="3"/>
        <v>#REF!</v>
      </c>
      <c r="D594" s="87"/>
    </row>
    <row r="595" spans="1:4" ht="14.25" customHeight="1" x14ac:dyDescent="0.2">
      <c r="A595" s="82"/>
      <c r="B595" s="83" t="e">
        <f t="shared" si="2"/>
        <v>#REF!</v>
      </c>
      <c r="C595" s="96" t="e">
        <f t="shared" si="3"/>
        <v>#REF!</v>
      </c>
      <c r="D595" s="87"/>
    </row>
    <row r="596" spans="1:4" ht="14.25" customHeight="1" x14ac:dyDescent="0.2">
      <c r="A596" s="82"/>
      <c r="B596" s="83" t="e">
        <f t="shared" si="2"/>
        <v>#REF!</v>
      </c>
      <c r="C596" s="96" t="e">
        <f t="shared" si="3"/>
        <v>#REF!</v>
      </c>
      <c r="D596" s="87"/>
    </row>
    <row r="597" spans="1:4" ht="14.25" customHeight="1" x14ac:dyDescent="0.2">
      <c r="A597" s="82"/>
      <c r="B597" s="83" t="e">
        <f t="shared" si="2"/>
        <v>#REF!</v>
      </c>
      <c r="C597" s="96" t="e">
        <f t="shared" si="3"/>
        <v>#REF!</v>
      </c>
      <c r="D597" s="87"/>
    </row>
    <row r="598" spans="1:4" ht="14.25" customHeight="1" x14ac:dyDescent="0.2">
      <c r="A598" s="82"/>
      <c r="B598" s="83" t="e">
        <f t="shared" si="2"/>
        <v>#REF!</v>
      </c>
      <c r="C598" s="96" t="e">
        <f t="shared" si="3"/>
        <v>#REF!</v>
      </c>
      <c r="D598" s="87"/>
    </row>
    <row r="599" spans="1:4" ht="14.25" customHeight="1" x14ac:dyDescent="0.2">
      <c r="A599" s="82"/>
      <c r="B599" s="83" t="e">
        <f t="shared" si="2"/>
        <v>#REF!</v>
      </c>
      <c r="C599" s="96" t="e">
        <f t="shared" si="3"/>
        <v>#REF!</v>
      </c>
      <c r="D599" s="87"/>
    </row>
    <row r="600" spans="1:4" ht="14.25" customHeight="1" x14ac:dyDescent="0.2">
      <c r="A600" s="82"/>
      <c r="B600" s="83" t="e">
        <f t="shared" si="2"/>
        <v>#REF!</v>
      </c>
      <c r="C600" s="96" t="e">
        <f t="shared" si="3"/>
        <v>#REF!</v>
      </c>
      <c r="D600" s="87"/>
    </row>
    <row r="601" spans="1:4" ht="14.25" customHeight="1" x14ac:dyDescent="0.2">
      <c r="A601" s="82"/>
      <c r="B601" s="83" t="e">
        <f t="shared" si="2"/>
        <v>#REF!</v>
      </c>
      <c r="C601" s="96" t="e">
        <f t="shared" si="3"/>
        <v>#REF!</v>
      </c>
      <c r="D601" s="87"/>
    </row>
    <row r="602" spans="1:4" ht="14.25" customHeight="1" x14ac:dyDescent="0.2">
      <c r="A602" s="82"/>
      <c r="B602" s="83" t="e">
        <f t="shared" si="2"/>
        <v>#REF!</v>
      </c>
      <c r="C602" s="96" t="e">
        <f t="shared" si="3"/>
        <v>#REF!</v>
      </c>
      <c r="D602" s="87"/>
    </row>
    <row r="603" spans="1:4" ht="14.25" customHeight="1" x14ac:dyDescent="0.2">
      <c r="A603" s="82"/>
      <c r="B603" s="83" t="e">
        <f t="shared" si="2"/>
        <v>#REF!</v>
      </c>
      <c r="C603" s="96" t="e">
        <f t="shared" si="3"/>
        <v>#REF!</v>
      </c>
      <c r="D603" s="87"/>
    </row>
    <row r="604" spans="1:4" ht="14.25" customHeight="1" x14ac:dyDescent="0.2">
      <c r="A604" s="82"/>
      <c r="B604" s="83" t="e">
        <f t="shared" si="2"/>
        <v>#REF!</v>
      </c>
      <c r="C604" s="96" t="e">
        <f t="shared" si="3"/>
        <v>#REF!</v>
      </c>
      <c r="D604" s="87"/>
    </row>
    <row r="605" spans="1:4" ht="14.25" customHeight="1" x14ac:dyDescent="0.2">
      <c r="A605" s="82"/>
      <c r="B605" s="83" t="e">
        <f t="shared" si="2"/>
        <v>#REF!</v>
      </c>
      <c r="C605" s="96" t="e">
        <f t="shared" si="3"/>
        <v>#REF!</v>
      </c>
      <c r="D605" s="87"/>
    </row>
    <row r="606" spans="1:4" ht="14.25" customHeight="1" x14ac:dyDescent="0.2">
      <c r="A606" s="82"/>
      <c r="B606" s="83" t="e">
        <f t="shared" si="2"/>
        <v>#REF!</v>
      </c>
      <c r="C606" s="96" t="e">
        <f t="shared" si="3"/>
        <v>#REF!</v>
      </c>
      <c r="D606" s="87"/>
    </row>
    <row r="607" spans="1:4" ht="14.25" customHeight="1" x14ac:dyDescent="0.2">
      <c r="A607" s="82"/>
      <c r="B607" s="83" t="e">
        <f t="shared" si="2"/>
        <v>#REF!</v>
      </c>
      <c r="C607" s="96" t="e">
        <f t="shared" si="3"/>
        <v>#REF!</v>
      </c>
      <c r="D607" s="87"/>
    </row>
    <row r="608" spans="1:4" ht="14.25" customHeight="1" x14ac:dyDescent="0.2">
      <c r="A608" s="82"/>
      <c r="B608" s="83" t="e">
        <f t="shared" si="2"/>
        <v>#REF!</v>
      </c>
      <c r="C608" s="96" t="e">
        <f t="shared" si="3"/>
        <v>#REF!</v>
      </c>
      <c r="D608" s="87"/>
    </row>
    <row r="609" spans="1:4" ht="14.25" customHeight="1" x14ac:dyDescent="0.2">
      <c r="A609" s="82"/>
      <c r="B609" s="83" t="e">
        <f t="shared" si="2"/>
        <v>#REF!</v>
      </c>
      <c r="C609" s="96" t="e">
        <f t="shared" si="3"/>
        <v>#REF!</v>
      </c>
      <c r="D609" s="87"/>
    </row>
    <row r="610" spans="1:4" ht="14.25" customHeight="1" x14ac:dyDescent="0.2">
      <c r="A610" s="82"/>
      <c r="B610" s="83" t="e">
        <f t="shared" si="2"/>
        <v>#REF!</v>
      </c>
      <c r="C610" s="96" t="e">
        <f t="shared" si="3"/>
        <v>#REF!</v>
      </c>
      <c r="D610" s="87"/>
    </row>
    <row r="611" spans="1:4" ht="14.25" customHeight="1" x14ac:dyDescent="0.2">
      <c r="A611" s="82"/>
      <c r="B611" s="83" t="e">
        <f t="shared" si="2"/>
        <v>#REF!</v>
      </c>
      <c r="C611" s="96" t="e">
        <f t="shared" si="3"/>
        <v>#REF!</v>
      </c>
      <c r="D611" s="87"/>
    </row>
    <row r="612" spans="1:4" ht="14.25" customHeight="1" x14ac:dyDescent="0.2">
      <c r="A612" s="82"/>
      <c r="B612" s="83" t="e">
        <f t="shared" si="2"/>
        <v>#REF!</v>
      </c>
      <c r="C612" s="96" t="e">
        <f t="shared" si="3"/>
        <v>#REF!</v>
      </c>
      <c r="D612" s="87"/>
    </row>
    <row r="613" spans="1:4" ht="14.25" customHeight="1" x14ac:dyDescent="0.2">
      <c r="A613" s="82"/>
      <c r="B613" s="83" t="e">
        <f t="shared" si="2"/>
        <v>#REF!</v>
      </c>
      <c r="C613" s="96" t="e">
        <f t="shared" si="3"/>
        <v>#REF!</v>
      </c>
      <c r="D613" s="87"/>
    </row>
    <row r="614" spans="1:4" ht="14.25" customHeight="1" x14ac:dyDescent="0.2">
      <c r="A614" s="82"/>
      <c r="B614" s="83" t="e">
        <f t="shared" si="2"/>
        <v>#REF!</v>
      </c>
      <c r="C614" s="96" t="e">
        <f t="shared" si="3"/>
        <v>#REF!</v>
      </c>
      <c r="D614" s="87"/>
    </row>
    <row r="615" spans="1:4" ht="14.25" customHeight="1" x14ac:dyDescent="0.2">
      <c r="A615" s="82"/>
      <c r="B615" s="83" t="e">
        <f t="shared" si="2"/>
        <v>#REF!</v>
      </c>
      <c r="C615" s="96" t="e">
        <f t="shared" si="3"/>
        <v>#REF!</v>
      </c>
      <c r="D615" s="87"/>
    </row>
    <row r="616" spans="1:4" ht="14.25" customHeight="1" x14ac:dyDescent="0.2">
      <c r="A616" s="82"/>
      <c r="B616" s="83" t="e">
        <f t="shared" si="2"/>
        <v>#REF!</v>
      </c>
      <c r="C616" s="96" t="e">
        <f t="shared" si="3"/>
        <v>#REF!</v>
      </c>
      <c r="D616" s="87"/>
    </row>
    <row r="617" spans="1:4" ht="14.25" customHeight="1" x14ac:dyDescent="0.2">
      <c r="A617" s="82"/>
      <c r="B617" s="83" t="e">
        <f t="shared" si="2"/>
        <v>#REF!</v>
      </c>
      <c r="C617" s="96" t="e">
        <f t="shared" si="3"/>
        <v>#REF!</v>
      </c>
      <c r="D617" s="87"/>
    </row>
    <row r="618" spans="1:4" ht="14.25" customHeight="1" x14ac:dyDescent="0.2">
      <c r="A618" s="82"/>
      <c r="B618" s="83" t="e">
        <f t="shared" si="2"/>
        <v>#REF!</v>
      </c>
      <c r="C618" s="96" t="e">
        <f t="shared" si="3"/>
        <v>#REF!</v>
      </c>
      <c r="D618" s="87"/>
    </row>
    <row r="619" spans="1:4" ht="14.25" customHeight="1" x14ac:dyDescent="0.2">
      <c r="A619" s="82"/>
      <c r="B619" s="83" t="e">
        <f t="shared" si="2"/>
        <v>#REF!</v>
      </c>
      <c r="C619" s="96" t="e">
        <f t="shared" si="3"/>
        <v>#REF!</v>
      </c>
      <c r="D619" s="87"/>
    </row>
    <row r="620" spans="1:4" ht="14.25" customHeight="1" x14ac:dyDescent="0.2">
      <c r="A620" s="82"/>
      <c r="B620" s="83" t="e">
        <f t="shared" si="2"/>
        <v>#REF!</v>
      </c>
      <c r="C620" s="96" t="e">
        <f t="shared" si="3"/>
        <v>#REF!</v>
      </c>
      <c r="D620" s="87"/>
    </row>
    <row r="621" spans="1:4" ht="14.25" customHeight="1" x14ac:dyDescent="0.2">
      <c r="A621" s="82"/>
      <c r="B621" s="83" t="e">
        <f t="shared" si="2"/>
        <v>#REF!</v>
      </c>
      <c r="C621" s="96" t="e">
        <f t="shared" si="3"/>
        <v>#REF!</v>
      </c>
      <c r="D621" s="87"/>
    </row>
    <row r="622" spans="1:4" ht="14.25" customHeight="1" x14ac:dyDescent="0.2">
      <c r="A622" s="82"/>
      <c r="B622" s="83" t="e">
        <f t="shared" si="2"/>
        <v>#REF!</v>
      </c>
      <c r="C622" s="96" t="e">
        <f t="shared" si="3"/>
        <v>#REF!</v>
      </c>
      <c r="D622" s="87"/>
    </row>
    <row r="623" spans="1:4" ht="14.25" customHeight="1" x14ac:dyDescent="0.2">
      <c r="A623" s="82"/>
      <c r="B623" s="83" t="e">
        <f t="shared" si="2"/>
        <v>#REF!</v>
      </c>
      <c r="C623" s="96" t="e">
        <f t="shared" si="3"/>
        <v>#REF!</v>
      </c>
      <c r="D623" s="87"/>
    </row>
    <row r="624" spans="1:4" ht="14.25" customHeight="1" x14ac:dyDescent="0.2">
      <c r="A624" s="82"/>
      <c r="B624" s="83" t="e">
        <f t="shared" si="2"/>
        <v>#REF!</v>
      </c>
      <c r="C624" s="96" t="e">
        <f t="shared" si="3"/>
        <v>#REF!</v>
      </c>
      <c r="D624" s="87"/>
    </row>
    <row r="625" spans="1:4" ht="14.25" customHeight="1" x14ac:dyDescent="0.2">
      <c r="A625" s="82"/>
      <c r="B625" s="83" t="e">
        <f t="shared" si="2"/>
        <v>#REF!</v>
      </c>
      <c r="C625" s="96" t="e">
        <f t="shared" si="3"/>
        <v>#REF!</v>
      </c>
      <c r="D625" s="87"/>
    </row>
    <row r="626" spans="1:4" ht="14.25" customHeight="1" x14ac:dyDescent="0.2">
      <c r="A626" s="82"/>
      <c r="B626" s="83" t="e">
        <f t="shared" si="2"/>
        <v>#REF!</v>
      </c>
      <c r="C626" s="96" t="e">
        <f t="shared" si="3"/>
        <v>#REF!</v>
      </c>
      <c r="D626" s="87"/>
    </row>
    <row r="627" spans="1:4" ht="14.25" customHeight="1" x14ac:dyDescent="0.2">
      <c r="A627" s="82"/>
      <c r="B627" s="83" t="e">
        <f t="shared" si="2"/>
        <v>#REF!</v>
      </c>
      <c r="C627" s="96" t="e">
        <f t="shared" si="3"/>
        <v>#REF!</v>
      </c>
      <c r="D627" s="87"/>
    </row>
    <row r="628" spans="1:4" ht="14.25" customHeight="1" x14ac:dyDescent="0.2">
      <c r="A628" s="82"/>
      <c r="B628" s="83" t="e">
        <f t="shared" si="2"/>
        <v>#REF!</v>
      </c>
      <c r="C628" s="96" t="e">
        <f t="shared" si="3"/>
        <v>#REF!</v>
      </c>
      <c r="D628" s="87"/>
    </row>
    <row r="629" spans="1:4" ht="14.25" customHeight="1" x14ac:dyDescent="0.2">
      <c r="A629" s="82"/>
      <c r="B629" s="83" t="e">
        <f t="shared" si="2"/>
        <v>#REF!</v>
      </c>
      <c r="C629" s="96" t="e">
        <f t="shared" si="3"/>
        <v>#REF!</v>
      </c>
      <c r="D629" s="87"/>
    </row>
    <row r="630" spans="1:4" ht="14.25" customHeight="1" x14ac:dyDescent="0.2">
      <c r="A630" s="82"/>
      <c r="B630" s="83" t="e">
        <f t="shared" si="2"/>
        <v>#REF!</v>
      </c>
      <c r="C630" s="96" t="e">
        <f t="shared" si="3"/>
        <v>#REF!</v>
      </c>
      <c r="D630" s="87"/>
    </row>
    <row r="631" spans="1:4" ht="14.25" customHeight="1" x14ac:dyDescent="0.2">
      <c r="A631" s="82"/>
      <c r="B631" s="83" t="e">
        <f t="shared" si="2"/>
        <v>#REF!</v>
      </c>
      <c r="C631" s="96" t="e">
        <f t="shared" si="3"/>
        <v>#REF!</v>
      </c>
      <c r="D631" s="87"/>
    </row>
    <row r="632" spans="1:4" ht="14.25" customHeight="1" x14ac:dyDescent="0.2">
      <c r="A632" s="82"/>
      <c r="B632" s="83" t="e">
        <f t="shared" si="2"/>
        <v>#REF!</v>
      </c>
      <c r="C632" s="96" t="e">
        <f t="shared" si="3"/>
        <v>#REF!</v>
      </c>
      <c r="D632" s="87"/>
    </row>
    <row r="633" spans="1:4" ht="14.25" customHeight="1" x14ac:dyDescent="0.2">
      <c r="A633" s="82"/>
      <c r="B633" s="83" t="e">
        <f t="shared" si="2"/>
        <v>#REF!</v>
      </c>
      <c r="C633" s="96" t="e">
        <f t="shared" si="3"/>
        <v>#REF!</v>
      </c>
      <c r="D633" s="87"/>
    </row>
    <row r="634" spans="1:4" ht="14.25" customHeight="1" x14ac:dyDescent="0.2">
      <c r="A634" s="82"/>
      <c r="B634" s="83" t="e">
        <f t="shared" si="2"/>
        <v>#REF!</v>
      </c>
      <c r="C634" s="96" t="e">
        <f t="shared" si="3"/>
        <v>#REF!</v>
      </c>
      <c r="D634" s="87"/>
    </row>
    <row r="635" spans="1:4" ht="14.25" customHeight="1" x14ac:dyDescent="0.2">
      <c r="A635" s="82"/>
      <c r="B635" s="83" t="e">
        <f t="shared" si="2"/>
        <v>#REF!</v>
      </c>
      <c r="C635" s="96" t="e">
        <f t="shared" si="3"/>
        <v>#REF!</v>
      </c>
      <c r="D635" s="87"/>
    </row>
    <row r="636" spans="1:4" ht="14.25" customHeight="1" x14ac:dyDescent="0.2">
      <c r="A636" s="82"/>
      <c r="B636" s="83" t="e">
        <f t="shared" si="2"/>
        <v>#REF!</v>
      </c>
      <c r="C636" s="96" t="e">
        <f t="shared" si="3"/>
        <v>#REF!</v>
      </c>
      <c r="D636" s="87"/>
    </row>
    <row r="637" spans="1:4" ht="14.25" customHeight="1" x14ac:dyDescent="0.2">
      <c r="A637" s="82"/>
      <c r="B637" s="83" t="e">
        <f t="shared" si="2"/>
        <v>#REF!</v>
      </c>
      <c r="C637" s="96" t="e">
        <f t="shared" si="3"/>
        <v>#REF!</v>
      </c>
      <c r="D637" s="87"/>
    </row>
    <row r="638" spans="1:4" ht="14.25" customHeight="1" x14ac:dyDescent="0.2">
      <c r="A638" s="82"/>
      <c r="B638" s="83" t="e">
        <f t="shared" si="2"/>
        <v>#REF!</v>
      </c>
      <c r="C638" s="96" t="e">
        <f t="shared" si="3"/>
        <v>#REF!</v>
      </c>
      <c r="D638" s="87"/>
    </row>
    <row r="639" spans="1:4" ht="14.25" customHeight="1" x14ac:dyDescent="0.2">
      <c r="A639" s="82"/>
      <c r="B639" s="83" t="e">
        <f t="shared" si="2"/>
        <v>#REF!</v>
      </c>
      <c r="C639" s="96" t="e">
        <f t="shared" si="3"/>
        <v>#REF!</v>
      </c>
      <c r="D639" s="87"/>
    </row>
    <row r="640" spans="1:4" ht="14.25" customHeight="1" x14ac:dyDescent="0.2">
      <c r="A640" s="82"/>
      <c r="B640" s="83" t="e">
        <f t="shared" si="2"/>
        <v>#REF!</v>
      </c>
      <c r="C640" s="96" t="e">
        <f t="shared" si="3"/>
        <v>#REF!</v>
      </c>
      <c r="D640" s="87"/>
    </row>
    <row r="641" spans="1:4" ht="14.25" customHeight="1" x14ac:dyDescent="0.2">
      <c r="A641" s="82"/>
      <c r="B641" s="83" t="e">
        <f t="shared" si="2"/>
        <v>#REF!</v>
      </c>
      <c r="C641" s="96" t="e">
        <f t="shared" si="3"/>
        <v>#REF!</v>
      </c>
      <c r="D641" s="87"/>
    </row>
    <row r="642" spans="1:4" ht="14.25" customHeight="1" x14ac:dyDescent="0.2">
      <c r="A642" s="82"/>
      <c r="B642" s="83" t="e">
        <f t="shared" si="2"/>
        <v>#REF!</v>
      </c>
      <c r="C642" s="96" t="e">
        <f t="shared" si="3"/>
        <v>#REF!</v>
      </c>
      <c r="D642" s="87"/>
    </row>
    <row r="643" spans="1:4" ht="14.25" customHeight="1" x14ac:dyDescent="0.2">
      <c r="A643" s="82"/>
      <c r="B643" s="83" t="e">
        <f t="shared" si="2"/>
        <v>#REF!</v>
      </c>
      <c r="C643" s="96" t="e">
        <f t="shared" si="3"/>
        <v>#REF!</v>
      </c>
      <c r="D643" s="87"/>
    </row>
    <row r="644" spans="1:4" ht="14.25" customHeight="1" x14ac:dyDescent="0.2">
      <c r="A644" s="82"/>
      <c r="B644" s="83" t="e">
        <f t="shared" si="2"/>
        <v>#REF!</v>
      </c>
      <c r="C644" s="96" t="e">
        <f t="shared" si="3"/>
        <v>#REF!</v>
      </c>
      <c r="D644" s="87"/>
    </row>
    <row r="645" spans="1:4" ht="14.25" customHeight="1" x14ac:dyDescent="0.2">
      <c r="A645" s="82"/>
      <c r="B645" s="83" t="e">
        <f t="shared" si="2"/>
        <v>#REF!</v>
      </c>
      <c r="C645" s="96" t="e">
        <f t="shared" si="3"/>
        <v>#REF!</v>
      </c>
      <c r="D645" s="87"/>
    </row>
    <row r="646" spans="1:4" ht="14.25" customHeight="1" x14ac:dyDescent="0.2">
      <c r="A646" s="82"/>
      <c r="B646" s="83" t="e">
        <f t="shared" si="2"/>
        <v>#REF!</v>
      </c>
      <c r="C646" s="96" t="e">
        <f t="shared" si="3"/>
        <v>#REF!</v>
      </c>
      <c r="D646" s="87"/>
    </row>
    <row r="647" spans="1:4" ht="14.25" customHeight="1" x14ac:dyDescent="0.2">
      <c r="A647" s="82"/>
      <c r="B647" s="83" t="e">
        <f t="shared" si="2"/>
        <v>#REF!</v>
      </c>
      <c r="C647" s="96" t="e">
        <f t="shared" si="3"/>
        <v>#REF!</v>
      </c>
      <c r="D647" s="87"/>
    </row>
    <row r="648" spans="1:4" ht="14.25" customHeight="1" x14ac:dyDescent="0.2">
      <c r="A648" s="82"/>
      <c r="B648" s="83" t="e">
        <f t="shared" si="2"/>
        <v>#REF!</v>
      </c>
      <c r="C648" s="96" t="e">
        <f t="shared" si="3"/>
        <v>#REF!</v>
      </c>
      <c r="D648" s="87"/>
    </row>
    <row r="649" spans="1:4" ht="14.25" customHeight="1" x14ac:dyDescent="0.2">
      <c r="A649" s="82"/>
      <c r="B649" s="83" t="e">
        <f t="shared" si="2"/>
        <v>#REF!</v>
      </c>
      <c r="C649" s="96" t="e">
        <f t="shared" si="3"/>
        <v>#REF!</v>
      </c>
      <c r="D649" s="87"/>
    </row>
    <row r="650" spans="1:4" ht="14.25" customHeight="1" x14ac:dyDescent="0.2">
      <c r="A650" s="82"/>
      <c r="B650" s="83" t="e">
        <f t="shared" si="2"/>
        <v>#REF!</v>
      </c>
      <c r="C650" s="96" t="e">
        <f t="shared" si="3"/>
        <v>#REF!</v>
      </c>
      <c r="D650" s="87"/>
    </row>
    <row r="651" spans="1:4" ht="14.25" customHeight="1" x14ac:dyDescent="0.2">
      <c r="A651" s="82"/>
      <c r="B651" s="83" t="e">
        <f t="shared" si="2"/>
        <v>#REF!</v>
      </c>
      <c r="C651" s="96" t="e">
        <f t="shared" si="3"/>
        <v>#REF!</v>
      </c>
      <c r="D651" s="87"/>
    </row>
    <row r="652" spans="1:4" ht="14.25" customHeight="1" x14ac:dyDescent="0.2">
      <c r="A652" s="82"/>
      <c r="B652" s="83" t="e">
        <f t="shared" si="2"/>
        <v>#REF!</v>
      </c>
      <c r="C652" s="96" t="e">
        <f t="shared" si="3"/>
        <v>#REF!</v>
      </c>
      <c r="D652" s="87"/>
    </row>
    <row r="653" spans="1:4" ht="14.25" customHeight="1" x14ac:dyDescent="0.2">
      <c r="A653" s="82"/>
      <c r="B653" s="83" t="e">
        <f t="shared" si="2"/>
        <v>#REF!</v>
      </c>
      <c r="C653" s="96" t="e">
        <f t="shared" si="3"/>
        <v>#REF!</v>
      </c>
      <c r="D653" s="87"/>
    </row>
    <row r="654" spans="1:4" ht="14.25" customHeight="1" x14ac:dyDescent="0.2">
      <c r="A654" s="82"/>
      <c r="B654" s="83" t="e">
        <f t="shared" si="2"/>
        <v>#REF!</v>
      </c>
      <c r="C654" s="96" t="e">
        <f t="shared" si="3"/>
        <v>#REF!</v>
      </c>
      <c r="D654" s="87"/>
    </row>
    <row r="655" spans="1:4" ht="14.25" customHeight="1" x14ac:dyDescent="0.2">
      <c r="A655" s="82"/>
      <c r="B655" s="83" t="e">
        <f t="shared" si="2"/>
        <v>#REF!</v>
      </c>
      <c r="C655" s="96" t="e">
        <f t="shared" si="3"/>
        <v>#REF!</v>
      </c>
      <c r="D655" s="87"/>
    </row>
    <row r="656" spans="1:4" ht="14.25" customHeight="1" x14ac:dyDescent="0.2">
      <c r="A656" s="82"/>
      <c r="B656" s="83" t="e">
        <f t="shared" si="2"/>
        <v>#REF!</v>
      </c>
      <c r="C656" s="96" t="e">
        <f t="shared" si="3"/>
        <v>#REF!</v>
      </c>
      <c r="D656" s="87"/>
    </row>
    <row r="657" spans="1:4" ht="14.25" customHeight="1" x14ac:dyDescent="0.2">
      <c r="A657" s="82"/>
      <c r="B657" s="83" t="e">
        <f t="shared" si="2"/>
        <v>#REF!</v>
      </c>
      <c r="C657" s="96" t="e">
        <f t="shared" si="3"/>
        <v>#REF!</v>
      </c>
      <c r="D657" s="87"/>
    </row>
    <row r="658" spans="1:4" ht="14.25" customHeight="1" x14ac:dyDescent="0.2">
      <c r="A658" s="82"/>
      <c r="B658" s="83" t="e">
        <f t="shared" si="2"/>
        <v>#REF!</v>
      </c>
      <c r="C658" s="96" t="e">
        <f t="shared" si="3"/>
        <v>#REF!</v>
      </c>
      <c r="D658" s="87"/>
    </row>
    <row r="659" spans="1:4" ht="14.25" customHeight="1" x14ac:dyDescent="0.2">
      <c r="A659" s="82"/>
      <c r="B659" s="83" t="e">
        <f t="shared" si="2"/>
        <v>#REF!</v>
      </c>
      <c r="C659" s="96" t="e">
        <f t="shared" si="3"/>
        <v>#REF!</v>
      </c>
      <c r="D659" s="87"/>
    </row>
    <row r="660" spans="1:4" ht="14.25" customHeight="1" x14ac:dyDescent="0.2">
      <c r="A660" s="82"/>
      <c r="B660" s="83" t="e">
        <f t="shared" si="2"/>
        <v>#REF!</v>
      </c>
      <c r="C660" s="96" t="e">
        <f t="shared" si="3"/>
        <v>#REF!</v>
      </c>
      <c r="D660" s="87"/>
    </row>
    <row r="661" spans="1:4" ht="14.25" customHeight="1" x14ac:dyDescent="0.2">
      <c r="A661" s="82"/>
      <c r="B661" s="83" t="e">
        <f t="shared" si="2"/>
        <v>#REF!</v>
      </c>
      <c r="C661" s="96" t="e">
        <f t="shared" si="3"/>
        <v>#REF!</v>
      </c>
      <c r="D661" s="87"/>
    </row>
    <row r="662" spans="1:4" ht="14.25" customHeight="1" x14ac:dyDescent="0.2">
      <c r="A662" s="82"/>
      <c r="B662" s="83" t="e">
        <f t="shared" si="2"/>
        <v>#REF!</v>
      </c>
      <c r="C662" s="96" t="e">
        <f t="shared" si="3"/>
        <v>#REF!</v>
      </c>
      <c r="D662" s="87"/>
    </row>
    <row r="663" spans="1:4" ht="14.25" customHeight="1" x14ac:dyDescent="0.2">
      <c r="A663" s="82"/>
      <c r="B663" s="83" t="e">
        <f t="shared" si="2"/>
        <v>#REF!</v>
      </c>
      <c r="C663" s="96" t="e">
        <f t="shared" si="3"/>
        <v>#REF!</v>
      </c>
      <c r="D663" s="87"/>
    </row>
    <row r="664" spans="1:4" ht="14.25" customHeight="1" x14ac:dyDescent="0.2">
      <c r="A664" s="82"/>
      <c r="B664" s="83" t="e">
        <f t="shared" si="2"/>
        <v>#REF!</v>
      </c>
      <c r="C664" s="96" t="e">
        <f t="shared" si="3"/>
        <v>#REF!</v>
      </c>
      <c r="D664" s="87"/>
    </row>
    <row r="665" spans="1:4" ht="14.25" customHeight="1" x14ac:dyDescent="0.2">
      <c r="A665" s="82"/>
      <c r="B665" s="83" t="e">
        <f t="shared" si="2"/>
        <v>#REF!</v>
      </c>
      <c r="C665" s="96" t="e">
        <f t="shared" si="3"/>
        <v>#REF!</v>
      </c>
      <c r="D665" s="87"/>
    </row>
    <row r="666" spans="1:4" ht="14.25" customHeight="1" x14ac:dyDescent="0.2">
      <c r="A666" s="82"/>
      <c r="B666" s="83" t="e">
        <f t="shared" si="2"/>
        <v>#REF!</v>
      </c>
      <c r="C666" s="96" t="e">
        <f t="shared" si="3"/>
        <v>#REF!</v>
      </c>
      <c r="D666" s="87"/>
    </row>
    <row r="667" spans="1:4" ht="14.25" customHeight="1" x14ac:dyDescent="0.2">
      <c r="A667" s="82"/>
      <c r="B667" s="83" t="e">
        <f t="shared" si="2"/>
        <v>#REF!</v>
      </c>
      <c r="C667" s="96" t="e">
        <f t="shared" si="3"/>
        <v>#REF!</v>
      </c>
      <c r="D667" s="87"/>
    </row>
    <row r="668" spans="1:4" ht="14.25" customHeight="1" x14ac:dyDescent="0.2">
      <c r="A668" s="82"/>
      <c r="B668" s="83" t="e">
        <f t="shared" si="2"/>
        <v>#REF!</v>
      </c>
      <c r="C668" s="96" t="e">
        <f t="shared" si="3"/>
        <v>#REF!</v>
      </c>
      <c r="D668" s="87"/>
    </row>
    <row r="669" spans="1:4" ht="14.25" customHeight="1" x14ac:dyDescent="0.2">
      <c r="A669" s="82"/>
      <c r="B669" s="83" t="e">
        <f t="shared" si="2"/>
        <v>#REF!</v>
      </c>
      <c r="C669" s="96" t="e">
        <f t="shared" si="3"/>
        <v>#REF!</v>
      </c>
      <c r="D669" s="87"/>
    </row>
    <row r="670" spans="1:4" ht="14.25" customHeight="1" x14ac:dyDescent="0.2">
      <c r="A670" s="82"/>
      <c r="B670" s="83" t="e">
        <f t="shared" si="2"/>
        <v>#REF!</v>
      </c>
      <c r="C670" s="96" t="e">
        <f t="shared" si="3"/>
        <v>#REF!</v>
      </c>
      <c r="D670" s="87"/>
    </row>
    <row r="671" spans="1:4" ht="14.25" customHeight="1" x14ac:dyDescent="0.2">
      <c r="A671" s="82"/>
      <c r="B671" s="83" t="e">
        <f t="shared" si="2"/>
        <v>#REF!</v>
      </c>
      <c r="C671" s="96" t="e">
        <f t="shared" si="3"/>
        <v>#REF!</v>
      </c>
      <c r="D671" s="87"/>
    </row>
    <row r="672" spans="1:4" ht="14.25" customHeight="1" x14ac:dyDescent="0.2">
      <c r="A672" s="82"/>
      <c r="B672" s="83" t="e">
        <f t="shared" si="2"/>
        <v>#REF!</v>
      </c>
      <c r="C672" s="96" t="e">
        <f t="shared" si="3"/>
        <v>#REF!</v>
      </c>
      <c r="D672" s="87"/>
    </row>
    <row r="673" spans="1:4" ht="14.25" customHeight="1" x14ac:dyDescent="0.2">
      <c r="A673" s="82"/>
      <c r="B673" s="83" t="e">
        <f t="shared" si="2"/>
        <v>#REF!</v>
      </c>
      <c r="C673" s="96" t="e">
        <f t="shared" si="3"/>
        <v>#REF!</v>
      </c>
      <c r="D673" s="87"/>
    </row>
    <row r="674" spans="1:4" ht="14.25" customHeight="1" x14ac:dyDescent="0.2">
      <c r="A674" s="82"/>
      <c r="B674" s="83" t="e">
        <f t="shared" si="2"/>
        <v>#REF!</v>
      </c>
      <c r="C674" s="96" t="e">
        <f t="shared" si="3"/>
        <v>#REF!</v>
      </c>
      <c r="D674" s="87"/>
    </row>
    <row r="675" spans="1:4" ht="14.25" customHeight="1" x14ac:dyDescent="0.2">
      <c r="A675" s="82"/>
      <c r="B675" s="83" t="e">
        <f t="shared" si="2"/>
        <v>#REF!</v>
      </c>
      <c r="C675" s="96" t="e">
        <f t="shared" si="3"/>
        <v>#REF!</v>
      </c>
      <c r="D675" s="87"/>
    </row>
    <row r="676" spans="1:4" ht="14.25" customHeight="1" x14ac:dyDescent="0.2">
      <c r="A676" s="82"/>
      <c r="B676" s="83" t="e">
        <f t="shared" si="2"/>
        <v>#REF!</v>
      </c>
      <c r="C676" s="96" t="e">
        <f t="shared" si="3"/>
        <v>#REF!</v>
      </c>
      <c r="D676" s="87"/>
    </row>
    <row r="677" spans="1:4" ht="14.25" customHeight="1" x14ac:dyDescent="0.2">
      <c r="A677" s="82"/>
      <c r="B677" s="83" t="e">
        <f t="shared" si="2"/>
        <v>#REF!</v>
      </c>
      <c r="C677" s="96" t="e">
        <f t="shared" si="3"/>
        <v>#REF!</v>
      </c>
      <c r="D677" s="87"/>
    </row>
    <row r="678" spans="1:4" ht="14.25" customHeight="1" x14ac:dyDescent="0.2">
      <c r="A678" s="82"/>
      <c r="B678" s="83" t="e">
        <f t="shared" si="2"/>
        <v>#REF!</v>
      </c>
      <c r="C678" s="96" t="e">
        <f t="shared" si="3"/>
        <v>#REF!</v>
      </c>
      <c r="D678" s="87"/>
    </row>
    <row r="679" spans="1:4" ht="14.25" customHeight="1" x14ac:dyDescent="0.2">
      <c r="A679" s="82"/>
      <c r="B679" s="83" t="e">
        <f t="shared" si="2"/>
        <v>#REF!</v>
      </c>
      <c r="C679" s="96" t="e">
        <f t="shared" si="3"/>
        <v>#REF!</v>
      </c>
      <c r="D679" s="87"/>
    </row>
    <row r="680" spans="1:4" ht="14.25" customHeight="1" x14ac:dyDescent="0.2">
      <c r="A680" s="82"/>
      <c r="B680" s="83" t="e">
        <f t="shared" si="2"/>
        <v>#REF!</v>
      </c>
      <c r="C680" s="96" t="e">
        <f t="shared" si="3"/>
        <v>#REF!</v>
      </c>
      <c r="D680" s="87"/>
    </row>
    <row r="681" spans="1:4" ht="14.25" customHeight="1" x14ac:dyDescent="0.2">
      <c r="A681" s="82"/>
      <c r="B681" s="83" t="e">
        <f t="shared" si="2"/>
        <v>#REF!</v>
      </c>
      <c r="C681" s="96" t="e">
        <f t="shared" si="3"/>
        <v>#REF!</v>
      </c>
      <c r="D681" s="87"/>
    </row>
    <row r="682" spans="1:4" ht="14.25" customHeight="1" x14ac:dyDescent="0.2">
      <c r="A682" s="82"/>
      <c r="B682" s="83" t="e">
        <f t="shared" si="2"/>
        <v>#REF!</v>
      </c>
      <c r="C682" s="96" t="e">
        <f t="shared" si="3"/>
        <v>#REF!</v>
      </c>
      <c r="D682" s="87"/>
    </row>
    <row r="683" spans="1:4" ht="14.25" customHeight="1" x14ac:dyDescent="0.2">
      <c r="A683" s="82"/>
      <c r="B683" s="83" t="e">
        <f t="shared" si="2"/>
        <v>#REF!</v>
      </c>
      <c r="C683" s="96" t="e">
        <f t="shared" si="3"/>
        <v>#REF!</v>
      </c>
      <c r="D683" s="87"/>
    </row>
    <row r="684" spans="1:4" ht="14.25" customHeight="1" x14ac:dyDescent="0.2">
      <c r="A684" s="82"/>
      <c r="B684" s="83" t="e">
        <f t="shared" si="2"/>
        <v>#REF!</v>
      </c>
      <c r="C684" s="96" t="e">
        <f t="shared" si="3"/>
        <v>#REF!</v>
      </c>
      <c r="D684" s="87"/>
    </row>
    <row r="685" spans="1:4" ht="14.25" customHeight="1" x14ac:dyDescent="0.2">
      <c r="A685" s="82"/>
      <c r="B685" s="83" t="e">
        <f t="shared" si="2"/>
        <v>#REF!</v>
      </c>
      <c r="C685" s="96" t="e">
        <f t="shared" si="3"/>
        <v>#REF!</v>
      </c>
      <c r="D685" s="87"/>
    </row>
    <row r="686" spans="1:4" ht="14.25" customHeight="1" x14ac:dyDescent="0.2">
      <c r="A686" s="82"/>
      <c r="B686" s="83" t="e">
        <f t="shared" si="2"/>
        <v>#REF!</v>
      </c>
      <c r="C686" s="96" t="e">
        <f t="shared" si="3"/>
        <v>#REF!</v>
      </c>
      <c r="D686" s="87"/>
    </row>
    <row r="687" spans="1:4" ht="14.25" customHeight="1" x14ac:dyDescent="0.2">
      <c r="A687" s="82"/>
      <c r="B687" s="83" t="e">
        <f t="shared" si="2"/>
        <v>#REF!</v>
      </c>
      <c r="C687" s="96" t="e">
        <f t="shared" si="3"/>
        <v>#REF!</v>
      </c>
      <c r="D687" s="87"/>
    </row>
    <row r="688" spans="1:4" ht="14.25" customHeight="1" x14ac:dyDescent="0.2">
      <c r="A688" s="82"/>
      <c r="B688" s="83" t="e">
        <f t="shared" si="2"/>
        <v>#REF!</v>
      </c>
      <c r="C688" s="96" t="e">
        <f t="shared" si="3"/>
        <v>#REF!</v>
      </c>
      <c r="D688" s="87"/>
    </row>
    <row r="689" spans="1:4" ht="14.25" customHeight="1" x14ac:dyDescent="0.2">
      <c r="A689" s="82"/>
      <c r="B689" s="83" t="e">
        <f t="shared" si="2"/>
        <v>#REF!</v>
      </c>
      <c r="C689" s="96" t="e">
        <f t="shared" si="3"/>
        <v>#REF!</v>
      </c>
      <c r="D689" s="87"/>
    </row>
    <row r="690" spans="1:4" ht="14.25" customHeight="1" x14ac:dyDescent="0.2">
      <c r="A690" s="82"/>
      <c r="B690" s="83" t="e">
        <f t="shared" si="2"/>
        <v>#REF!</v>
      </c>
      <c r="C690" s="96" t="e">
        <f t="shared" si="3"/>
        <v>#REF!</v>
      </c>
      <c r="D690" s="87"/>
    </row>
    <row r="691" spans="1:4" ht="14.25" customHeight="1" x14ac:dyDescent="0.2">
      <c r="A691" s="82"/>
      <c r="B691" s="83" t="e">
        <f t="shared" si="2"/>
        <v>#REF!</v>
      </c>
      <c r="C691" s="96" t="e">
        <f t="shared" si="3"/>
        <v>#REF!</v>
      </c>
      <c r="D691" s="87"/>
    </row>
    <row r="692" spans="1:4" ht="14.25" customHeight="1" x14ac:dyDescent="0.2">
      <c r="A692" s="82"/>
      <c r="B692" s="83" t="e">
        <f t="shared" si="2"/>
        <v>#REF!</v>
      </c>
      <c r="C692" s="96" t="e">
        <f t="shared" si="3"/>
        <v>#REF!</v>
      </c>
      <c r="D692" s="87"/>
    </row>
    <row r="693" spans="1:4" ht="14.25" customHeight="1" x14ac:dyDescent="0.2">
      <c r="A693" s="82"/>
      <c r="B693" s="83" t="e">
        <f t="shared" si="2"/>
        <v>#REF!</v>
      </c>
      <c r="C693" s="96" t="e">
        <f t="shared" si="3"/>
        <v>#REF!</v>
      </c>
      <c r="D693" s="87"/>
    </row>
    <row r="694" spans="1:4" ht="14.25" customHeight="1" x14ac:dyDescent="0.2">
      <c r="A694" s="82"/>
      <c r="B694" s="83" t="e">
        <f t="shared" si="2"/>
        <v>#REF!</v>
      </c>
      <c r="C694" s="96" t="e">
        <f t="shared" si="3"/>
        <v>#REF!</v>
      </c>
      <c r="D694" s="87"/>
    </row>
    <row r="695" spans="1:4" ht="14.25" customHeight="1" x14ac:dyDescent="0.2">
      <c r="A695" s="82"/>
      <c r="B695" s="83" t="e">
        <f t="shared" si="2"/>
        <v>#REF!</v>
      </c>
      <c r="C695" s="96" t="e">
        <f t="shared" si="3"/>
        <v>#REF!</v>
      </c>
      <c r="D695" s="87"/>
    </row>
    <row r="696" spans="1:4" ht="14.25" customHeight="1" x14ac:dyDescent="0.2">
      <c r="A696" s="82"/>
      <c r="B696" s="83" t="e">
        <f t="shared" si="2"/>
        <v>#REF!</v>
      </c>
      <c r="C696" s="96" t="e">
        <f t="shared" si="3"/>
        <v>#REF!</v>
      </c>
      <c r="D696" s="87"/>
    </row>
    <row r="697" spans="1:4" ht="14.25" customHeight="1" x14ac:dyDescent="0.2">
      <c r="A697" s="82"/>
      <c r="B697" s="83" t="e">
        <f t="shared" si="2"/>
        <v>#REF!</v>
      </c>
      <c r="C697" s="96" t="e">
        <f t="shared" si="3"/>
        <v>#REF!</v>
      </c>
      <c r="D697" s="87"/>
    </row>
    <row r="698" spans="1:4" ht="14.25" customHeight="1" x14ac:dyDescent="0.2">
      <c r="A698" s="82"/>
      <c r="B698" s="83" t="e">
        <f t="shared" si="2"/>
        <v>#REF!</v>
      </c>
      <c r="C698" s="96" t="e">
        <f t="shared" si="3"/>
        <v>#REF!</v>
      </c>
      <c r="D698" s="87"/>
    </row>
    <row r="699" spans="1:4" ht="14.25" customHeight="1" x14ac:dyDescent="0.2">
      <c r="A699" s="82"/>
      <c r="B699" s="83" t="e">
        <f t="shared" si="2"/>
        <v>#REF!</v>
      </c>
      <c r="C699" s="96" t="e">
        <f t="shared" si="3"/>
        <v>#REF!</v>
      </c>
      <c r="D699" s="87"/>
    </row>
    <row r="700" spans="1:4" ht="14.25" customHeight="1" x14ac:dyDescent="0.2">
      <c r="A700" s="82"/>
      <c r="B700" s="83" t="e">
        <f t="shared" si="2"/>
        <v>#REF!</v>
      </c>
      <c r="C700" s="96" t="e">
        <f t="shared" si="3"/>
        <v>#REF!</v>
      </c>
      <c r="D700" s="87"/>
    </row>
    <row r="701" spans="1:4" ht="14.25" customHeight="1" x14ac:dyDescent="0.2">
      <c r="A701" s="82"/>
      <c r="B701" s="83" t="e">
        <f t="shared" si="2"/>
        <v>#REF!</v>
      </c>
      <c r="C701" s="96" t="e">
        <f t="shared" si="3"/>
        <v>#REF!</v>
      </c>
      <c r="D701" s="87"/>
    </row>
    <row r="702" spans="1:4" ht="14.25" customHeight="1" x14ac:dyDescent="0.2">
      <c r="A702" s="82"/>
      <c r="B702" s="83" t="e">
        <f t="shared" si="2"/>
        <v>#REF!</v>
      </c>
      <c r="C702" s="96" t="e">
        <f t="shared" si="3"/>
        <v>#REF!</v>
      </c>
      <c r="D702" s="87"/>
    </row>
    <row r="703" spans="1:4" ht="14.25" customHeight="1" x14ac:dyDescent="0.2">
      <c r="A703" s="82"/>
      <c r="B703" s="83" t="e">
        <f t="shared" si="2"/>
        <v>#REF!</v>
      </c>
      <c r="C703" s="96" t="e">
        <f t="shared" si="3"/>
        <v>#REF!</v>
      </c>
      <c r="D703" s="87"/>
    </row>
    <row r="704" spans="1:4" ht="14.25" customHeight="1" x14ac:dyDescent="0.2">
      <c r="A704" s="82"/>
      <c r="B704" s="83" t="e">
        <f t="shared" si="2"/>
        <v>#REF!</v>
      </c>
      <c r="C704" s="96" t="e">
        <f t="shared" si="3"/>
        <v>#REF!</v>
      </c>
      <c r="D704" s="87"/>
    </row>
    <row r="705" spans="1:4" ht="14.25" customHeight="1" x14ac:dyDescent="0.2">
      <c r="A705" s="82"/>
      <c r="B705" s="83" t="e">
        <f t="shared" si="2"/>
        <v>#REF!</v>
      </c>
      <c r="C705" s="96" t="e">
        <f t="shared" si="3"/>
        <v>#REF!</v>
      </c>
      <c r="D705" s="87"/>
    </row>
    <row r="706" spans="1:4" ht="14.25" customHeight="1" x14ac:dyDescent="0.2">
      <c r="A706" s="82"/>
      <c r="B706" s="83" t="e">
        <f t="shared" si="2"/>
        <v>#REF!</v>
      </c>
      <c r="C706" s="96" t="e">
        <f t="shared" si="3"/>
        <v>#REF!</v>
      </c>
      <c r="D706" s="87"/>
    </row>
    <row r="707" spans="1:4" ht="14.25" customHeight="1" x14ac:dyDescent="0.2">
      <c r="A707" s="82"/>
      <c r="B707" s="83" t="e">
        <f t="shared" si="2"/>
        <v>#REF!</v>
      </c>
      <c r="C707" s="96" t="e">
        <f t="shared" si="3"/>
        <v>#REF!</v>
      </c>
      <c r="D707" s="87"/>
    </row>
    <row r="708" spans="1:4" ht="14.25" customHeight="1" x14ac:dyDescent="0.2">
      <c r="A708" s="82"/>
      <c r="B708" s="83" t="e">
        <f t="shared" si="2"/>
        <v>#REF!</v>
      </c>
      <c r="C708" s="96" t="e">
        <f t="shared" si="3"/>
        <v>#REF!</v>
      </c>
      <c r="D708" s="87"/>
    </row>
    <row r="709" spans="1:4" ht="14.25" customHeight="1" x14ac:dyDescent="0.2">
      <c r="A709" s="82"/>
      <c r="B709" s="83" t="e">
        <f t="shared" si="2"/>
        <v>#REF!</v>
      </c>
      <c r="C709" s="96" t="e">
        <f t="shared" si="3"/>
        <v>#REF!</v>
      </c>
      <c r="D709" s="87"/>
    </row>
    <row r="710" spans="1:4" ht="14.25" customHeight="1" x14ac:dyDescent="0.2">
      <c r="A710" s="82"/>
      <c r="B710" s="83" t="e">
        <f t="shared" si="2"/>
        <v>#REF!</v>
      </c>
      <c r="C710" s="96" t="e">
        <f t="shared" si="3"/>
        <v>#REF!</v>
      </c>
      <c r="D710" s="87"/>
    </row>
    <row r="711" spans="1:4" ht="14.25" customHeight="1" x14ac:dyDescent="0.2">
      <c r="A711" s="82"/>
      <c r="B711" s="83" t="e">
        <f t="shared" si="2"/>
        <v>#REF!</v>
      </c>
      <c r="C711" s="96" t="e">
        <f t="shared" si="3"/>
        <v>#REF!</v>
      </c>
      <c r="D711" s="87"/>
    </row>
    <row r="712" spans="1:4" ht="14.25" customHeight="1" x14ac:dyDescent="0.2">
      <c r="A712" s="82"/>
      <c r="B712" s="83" t="e">
        <f t="shared" si="2"/>
        <v>#REF!</v>
      </c>
      <c r="C712" s="96" t="e">
        <f t="shared" si="3"/>
        <v>#REF!</v>
      </c>
      <c r="D712" s="87"/>
    </row>
    <row r="713" spans="1:4" ht="14.25" customHeight="1" x14ac:dyDescent="0.2">
      <c r="A713" s="82"/>
      <c r="B713" s="83" t="e">
        <f t="shared" ref="B713:B800" si="4">IF(H713="credit",#REF!, (#REF!* -1))</f>
        <v>#REF!</v>
      </c>
      <c r="C713" s="96" t="e">
        <f t="shared" ref="C713:C800" si="5">C712+B713</f>
        <v>#REF!</v>
      </c>
      <c r="D713" s="87"/>
    </row>
    <row r="714" spans="1:4" ht="14.25" customHeight="1" x14ac:dyDescent="0.2">
      <c r="A714" s="82"/>
      <c r="B714" s="83" t="e">
        <f t="shared" si="4"/>
        <v>#REF!</v>
      </c>
      <c r="C714" s="96" t="e">
        <f t="shared" si="5"/>
        <v>#REF!</v>
      </c>
      <c r="D714" s="87"/>
    </row>
    <row r="715" spans="1:4" ht="14.25" customHeight="1" x14ac:dyDescent="0.2">
      <c r="A715" s="82"/>
      <c r="B715" s="83" t="e">
        <f t="shared" si="4"/>
        <v>#REF!</v>
      </c>
      <c r="C715" s="96" t="e">
        <f t="shared" si="5"/>
        <v>#REF!</v>
      </c>
      <c r="D715" s="87"/>
    </row>
    <row r="716" spans="1:4" ht="14.25" customHeight="1" x14ac:dyDescent="0.2">
      <c r="A716" s="82"/>
      <c r="B716" s="83" t="e">
        <f t="shared" si="4"/>
        <v>#REF!</v>
      </c>
      <c r="C716" s="96" t="e">
        <f t="shared" si="5"/>
        <v>#REF!</v>
      </c>
      <c r="D716" s="87"/>
    </row>
    <row r="717" spans="1:4" ht="14.25" customHeight="1" x14ac:dyDescent="0.2">
      <c r="A717" s="82"/>
      <c r="B717" s="83" t="e">
        <f t="shared" si="4"/>
        <v>#REF!</v>
      </c>
      <c r="C717" s="96" t="e">
        <f t="shared" si="5"/>
        <v>#REF!</v>
      </c>
      <c r="D717" s="87"/>
    </row>
    <row r="718" spans="1:4" ht="14.25" customHeight="1" x14ac:dyDescent="0.2">
      <c r="A718" s="82"/>
      <c r="B718" s="83" t="e">
        <f t="shared" si="4"/>
        <v>#REF!</v>
      </c>
      <c r="C718" s="96" t="e">
        <f t="shared" si="5"/>
        <v>#REF!</v>
      </c>
      <c r="D718" s="87"/>
    </row>
    <row r="719" spans="1:4" ht="14.25" customHeight="1" x14ac:dyDescent="0.2">
      <c r="A719" s="82"/>
      <c r="B719" s="83" t="e">
        <f t="shared" si="4"/>
        <v>#REF!</v>
      </c>
      <c r="C719" s="96" t="e">
        <f t="shared" si="5"/>
        <v>#REF!</v>
      </c>
      <c r="D719" s="87"/>
    </row>
    <row r="720" spans="1:4" ht="14.25" customHeight="1" x14ac:dyDescent="0.2">
      <c r="A720" s="82"/>
      <c r="B720" s="83" t="e">
        <f t="shared" si="4"/>
        <v>#REF!</v>
      </c>
      <c r="C720" s="96" t="e">
        <f t="shared" si="5"/>
        <v>#REF!</v>
      </c>
      <c r="D720" s="87"/>
    </row>
    <row r="721" spans="1:4" ht="14.25" customHeight="1" x14ac:dyDescent="0.2">
      <c r="A721" s="82"/>
      <c r="B721" s="83" t="e">
        <f t="shared" si="4"/>
        <v>#REF!</v>
      </c>
      <c r="C721" s="96" t="e">
        <f t="shared" si="5"/>
        <v>#REF!</v>
      </c>
      <c r="D721" s="87"/>
    </row>
    <row r="722" spans="1:4" ht="14.25" customHeight="1" x14ac:dyDescent="0.2">
      <c r="A722" s="82"/>
      <c r="B722" s="83" t="e">
        <f t="shared" si="4"/>
        <v>#REF!</v>
      </c>
      <c r="C722" s="96" t="e">
        <f t="shared" si="5"/>
        <v>#REF!</v>
      </c>
      <c r="D722" s="87"/>
    </row>
    <row r="723" spans="1:4" ht="14.25" customHeight="1" x14ac:dyDescent="0.2">
      <c r="A723" s="82"/>
      <c r="B723" s="83" t="e">
        <f t="shared" si="4"/>
        <v>#REF!</v>
      </c>
      <c r="C723" s="96" t="e">
        <f t="shared" si="5"/>
        <v>#REF!</v>
      </c>
      <c r="D723" s="87"/>
    </row>
    <row r="724" spans="1:4" ht="14.25" customHeight="1" x14ac:dyDescent="0.2">
      <c r="A724" s="82"/>
      <c r="B724" s="83" t="e">
        <f t="shared" si="4"/>
        <v>#REF!</v>
      </c>
      <c r="C724" s="96" t="e">
        <f t="shared" si="5"/>
        <v>#REF!</v>
      </c>
      <c r="D724" s="87"/>
    </row>
    <row r="725" spans="1:4" ht="14.25" customHeight="1" x14ac:dyDescent="0.2">
      <c r="A725" s="82"/>
      <c r="B725" s="83" t="e">
        <f t="shared" si="4"/>
        <v>#REF!</v>
      </c>
      <c r="C725" s="96" t="e">
        <f t="shared" si="5"/>
        <v>#REF!</v>
      </c>
      <c r="D725" s="87"/>
    </row>
    <row r="726" spans="1:4" ht="14.25" customHeight="1" x14ac:dyDescent="0.2">
      <c r="A726" s="82"/>
      <c r="B726" s="83" t="e">
        <f t="shared" si="4"/>
        <v>#REF!</v>
      </c>
      <c r="C726" s="96" t="e">
        <f t="shared" si="5"/>
        <v>#REF!</v>
      </c>
      <c r="D726" s="87"/>
    </row>
    <row r="727" spans="1:4" ht="14.25" customHeight="1" x14ac:dyDescent="0.2">
      <c r="A727" s="82"/>
      <c r="B727" s="83" t="e">
        <f t="shared" si="4"/>
        <v>#REF!</v>
      </c>
      <c r="C727" s="96" t="e">
        <f t="shared" si="5"/>
        <v>#REF!</v>
      </c>
      <c r="D727" s="87"/>
    </row>
    <row r="728" spans="1:4" ht="14.25" customHeight="1" x14ac:dyDescent="0.2">
      <c r="A728" s="82"/>
      <c r="B728" s="83" t="e">
        <f t="shared" si="4"/>
        <v>#REF!</v>
      </c>
      <c r="C728" s="96" t="e">
        <f t="shared" si="5"/>
        <v>#REF!</v>
      </c>
      <c r="D728" s="87"/>
    </row>
    <row r="729" spans="1:4" ht="14.25" customHeight="1" x14ac:dyDescent="0.2">
      <c r="A729" s="82"/>
      <c r="B729" s="83" t="e">
        <f t="shared" si="4"/>
        <v>#REF!</v>
      </c>
      <c r="C729" s="96" t="e">
        <f t="shared" si="5"/>
        <v>#REF!</v>
      </c>
      <c r="D729" s="87"/>
    </row>
    <row r="730" spans="1:4" ht="14.25" customHeight="1" x14ac:dyDescent="0.2">
      <c r="A730" s="82"/>
      <c r="B730" s="83" t="e">
        <f t="shared" si="4"/>
        <v>#REF!</v>
      </c>
      <c r="C730" s="96" t="e">
        <f t="shared" si="5"/>
        <v>#REF!</v>
      </c>
      <c r="D730" s="87"/>
    </row>
    <row r="731" spans="1:4" ht="14.25" customHeight="1" x14ac:dyDescent="0.2">
      <c r="A731" s="82"/>
      <c r="B731" s="83" t="e">
        <f t="shared" si="4"/>
        <v>#REF!</v>
      </c>
      <c r="C731" s="96" t="e">
        <f t="shared" si="5"/>
        <v>#REF!</v>
      </c>
      <c r="D731" s="87"/>
    </row>
    <row r="732" spans="1:4" ht="14.25" customHeight="1" x14ac:dyDescent="0.2">
      <c r="A732" s="82"/>
      <c r="B732" s="83" t="e">
        <f t="shared" si="4"/>
        <v>#REF!</v>
      </c>
      <c r="C732" s="96" t="e">
        <f t="shared" si="5"/>
        <v>#REF!</v>
      </c>
      <c r="D732" s="87"/>
    </row>
    <row r="733" spans="1:4" ht="14.25" customHeight="1" x14ac:dyDescent="0.2">
      <c r="A733" s="82"/>
      <c r="B733" s="83" t="e">
        <f t="shared" si="4"/>
        <v>#REF!</v>
      </c>
      <c r="C733" s="96" t="e">
        <f t="shared" si="5"/>
        <v>#REF!</v>
      </c>
      <c r="D733" s="87"/>
    </row>
    <row r="734" spans="1:4" ht="14.25" customHeight="1" x14ac:dyDescent="0.2">
      <c r="A734" s="82"/>
      <c r="B734" s="83" t="e">
        <f t="shared" si="4"/>
        <v>#REF!</v>
      </c>
      <c r="C734" s="96" t="e">
        <f t="shared" si="5"/>
        <v>#REF!</v>
      </c>
      <c r="D734" s="87"/>
    </row>
    <row r="735" spans="1:4" ht="14.25" customHeight="1" x14ac:dyDescent="0.2">
      <c r="A735" s="82"/>
      <c r="B735" s="83" t="e">
        <f t="shared" si="4"/>
        <v>#REF!</v>
      </c>
      <c r="C735" s="96" t="e">
        <f t="shared" si="5"/>
        <v>#REF!</v>
      </c>
      <c r="D735" s="87"/>
    </row>
    <row r="736" spans="1:4" ht="14.25" customHeight="1" x14ac:dyDescent="0.2">
      <c r="A736" s="82"/>
      <c r="B736" s="83" t="e">
        <f t="shared" si="4"/>
        <v>#REF!</v>
      </c>
      <c r="C736" s="96" t="e">
        <f t="shared" si="5"/>
        <v>#REF!</v>
      </c>
      <c r="D736" s="87"/>
    </row>
    <row r="737" spans="1:4" ht="14.25" customHeight="1" x14ac:dyDescent="0.2">
      <c r="A737" s="82"/>
      <c r="B737" s="83" t="e">
        <f t="shared" si="4"/>
        <v>#REF!</v>
      </c>
      <c r="C737" s="96" t="e">
        <f t="shared" si="5"/>
        <v>#REF!</v>
      </c>
      <c r="D737" s="87"/>
    </row>
    <row r="738" spans="1:4" ht="14.25" customHeight="1" x14ac:dyDescent="0.2">
      <c r="A738" s="82"/>
      <c r="B738" s="83" t="e">
        <f t="shared" si="4"/>
        <v>#REF!</v>
      </c>
      <c r="C738" s="96" t="e">
        <f t="shared" si="5"/>
        <v>#REF!</v>
      </c>
      <c r="D738" s="87"/>
    </row>
    <row r="739" spans="1:4" ht="14.25" customHeight="1" x14ac:dyDescent="0.2">
      <c r="A739" s="82"/>
      <c r="B739" s="83" t="e">
        <f t="shared" si="4"/>
        <v>#REF!</v>
      </c>
      <c r="C739" s="96" t="e">
        <f t="shared" si="5"/>
        <v>#REF!</v>
      </c>
      <c r="D739" s="87"/>
    </row>
    <row r="740" spans="1:4" ht="14.25" customHeight="1" x14ac:dyDescent="0.2">
      <c r="A740" s="82"/>
      <c r="B740" s="83" t="e">
        <f t="shared" si="4"/>
        <v>#REF!</v>
      </c>
      <c r="C740" s="96" t="e">
        <f t="shared" si="5"/>
        <v>#REF!</v>
      </c>
      <c r="D740" s="87"/>
    </row>
    <row r="741" spans="1:4" ht="14.25" customHeight="1" x14ac:dyDescent="0.2">
      <c r="A741" s="82"/>
      <c r="B741" s="83" t="e">
        <f t="shared" si="4"/>
        <v>#REF!</v>
      </c>
      <c r="C741" s="96" t="e">
        <f t="shared" si="5"/>
        <v>#REF!</v>
      </c>
      <c r="D741" s="87"/>
    </row>
    <row r="742" spans="1:4" ht="14.25" customHeight="1" x14ac:dyDescent="0.2">
      <c r="A742" s="82"/>
      <c r="B742" s="83" t="e">
        <f t="shared" si="4"/>
        <v>#REF!</v>
      </c>
      <c r="C742" s="96" t="e">
        <f t="shared" si="5"/>
        <v>#REF!</v>
      </c>
      <c r="D742" s="87"/>
    </row>
    <row r="743" spans="1:4" ht="14.25" customHeight="1" x14ac:dyDescent="0.2">
      <c r="A743" s="82"/>
      <c r="B743" s="83" t="e">
        <f t="shared" si="4"/>
        <v>#REF!</v>
      </c>
      <c r="C743" s="96" t="e">
        <f t="shared" si="5"/>
        <v>#REF!</v>
      </c>
      <c r="D743" s="87"/>
    </row>
    <row r="744" spans="1:4" ht="14.25" customHeight="1" x14ac:dyDescent="0.2">
      <c r="A744" s="82"/>
      <c r="B744" s="83" t="e">
        <f t="shared" si="4"/>
        <v>#REF!</v>
      </c>
      <c r="C744" s="96" t="e">
        <f t="shared" si="5"/>
        <v>#REF!</v>
      </c>
      <c r="D744" s="87"/>
    </row>
    <row r="745" spans="1:4" ht="14.25" customHeight="1" x14ac:dyDescent="0.2">
      <c r="A745" s="82"/>
      <c r="B745" s="83" t="e">
        <f t="shared" si="4"/>
        <v>#REF!</v>
      </c>
      <c r="C745" s="96" t="e">
        <f t="shared" si="5"/>
        <v>#REF!</v>
      </c>
      <c r="D745" s="87"/>
    </row>
    <row r="746" spans="1:4" ht="14.25" customHeight="1" x14ac:dyDescent="0.2">
      <c r="A746" s="82"/>
      <c r="B746" s="83" t="e">
        <f t="shared" si="4"/>
        <v>#REF!</v>
      </c>
      <c r="C746" s="96" t="e">
        <f t="shared" si="5"/>
        <v>#REF!</v>
      </c>
      <c r="D746" s="87"/>
    </row>
    <row r="747" spans="1:4" ht="14.25" customHeight="1" x14ac:dyDescent="0.2">
      <c r="A747" s="82"/>
      <c r="B747" s="83" t="e">
        <f t="shared" si="4"/>
        <v>#REF!</v>
      </c>
      <c r="C747" s="96" t="e">
        <f t="shared" si="5"/>
        <v>#REF!</v>
      </c>
      <c r="D747" s="87"/>
    </row>
    <row r="748" spans="1:4" ht="14.25" customHeight="1" x14ac:dyDescent="0.2">
      <c r="A748" s="82"/>
      <c r="B748" s="83" t="e">
        <f t="shared" si="4"/>
        <v>#REF!</v>
      </c>
      <c r="C748" s="96" t="e">
        <f t="shared" si="5"/>
        <v>#REF!</v>
      </c>
      <c r="D748" s="87"/>
    </row>
    <row r="749" spans="1:4" ht="14.25" customHeight="1" x14ac:dyDescent="0.2">
      <c r="A749" s="82"/>
      <c r="B749" s="83" t="e">
        <f t="shared" si="4"/>
        <v>#REF!</v>
      </c>
      <c r="C749" s="96" t="e">
        <f t="shared" si="5"/>
        <v>#REF!</v>
      </c>
      <c r="D749" s="87"/>
    </row>
    <row r="750" spans="1:4" ht="14.25" customHeight="1" x14ac:dyDescent="0.2">
      <c r="A750" s="82"/>
      <c r="B750" s="83" t="e">
        <f t="shared" si="4"/>
        <v>#REF!</v>
      </c>
      <c r="C750" s="96" t="e">
        <f t="shared" si="5"/>
        <v>#REF!</v>
      </c>
      <c r="D750" s="87"/>
    </row>
    <row r="751" spans="1:4" ht="14.25" customHeight="1" x14ac:dyDescent="0.2">
      <c r="A751" s="82"/>
      <c r="B751" s="83" t="e">
        <f t="shared" si="4"/>
        <v>#REF!</v>
      </c>
      <c r="C751" s="96" t="e">
        <f t="shared" si="5"/>
        <v>#REF!</v>
      </c>
      <c r="D751" s="87"/>
    </row>
    <row r="752" spans="1:4" ht="14.25" customHeight="1" x14ac:dyDescent="0.2">
      <c r="A752" s="82"/>
      <c r="B752" s="83" t="e">
        <f t="shared" si="4"/>
        <v>#REF!</v>
      </c>
      <c r="C752" s="96" t="e">
        <f t="shared" si="5"/>
        <v>#REF!</v>
      </c>
      <c r="D752" s="87"/>
    </row>
    <row r="753" spans="1:4" ht="14.25" customHeight="1" x14ac:dyDescent="0.2">
      <c r="A753" s="82"/>
      <c r="B753" s="83" t="e">
        <f t="shared" si="4"/>
        <v>#REF!</v>
      </c>
      <c r="C753" s="96" t="e">
        <f t="shared" si="5"/>
        <v>#REF!</v>
      </c>
      <c r="D753" s="87"/>
    </row>
    <row r="754" spans="1:4" ht="14.25" customHeight="1" x14ac:dyDescent="0.2">
      <c r="A754" s="82"/>
      <c r="B754" s="83" t="e">
        <f t="shared" si="4"/>
        <v>#REF!</v>
      </c>
      <c r="C754" s="96" t="e">
        <f t="shared" si="5"/>
        <v>#REF!</v>
      </c>
      <c r="D754" s="87"/>
    </row>
    <row r="755" spans="1:4" ht="14.25" customHeight="1" x14ac:dyDescent="0.2">
      <c r="A755" s="82"/>
      <c r="B755" s="83" t="e">
        <f t="shared" si="4"/>
        <v>#REF!</v>
      </c>
      <c r="C755" s="96" t="e">
        <f t="shared" si="5"/>
        <v>#REF!</v>
      </c>
      <c r="D755" s="87"/>
    </row>
    <row r="756" spans="1:4" ht="14.25" customHeight="1" x14ac:dyDescent="0.2">
      <c r="A756" s="82"/>
      <c r="B756" s="83" t="e">
        <f t="shared" si="4"/>
        <v>#REF!</v>
      </c>
      <c r="C756" s="96" t="e">
        <f t="shared" si="5"/>
        <v>#REF!</v>
      </c>
      <c r="D756" s="87"/>
    </row>
    <row r="757" spans="1:4" ht="14.25" customHeight="1" x14ac:dyDescent="0.2">
      <c r="A757" s="82"/>
      <c r="B757" s="83" t="e">
        <f t="shared" si="4"/>
        <v>#REF!</v>
      </c>
      <c r="C757" s="96" t="e">
        <f t="shared" si="5"/>
        <v>#REF!</v>
      </c>
      <c r="D757" s="87"/>
    </row>
    <row r="758" spans="1:4" ht="14.25" customHeight="1" x14ac:dyDescent="0.2">
      <c r="A758" s="82"/>
      <c r="B758" s="83" t="e">
        <f t="shared" si="4"/>
        <v>#REF!</v>
      </c>
      <c r="C758" s="96" t="e">
        <f t="shared" si="5"/>
        <v>#REF!</v>
      </c>
      <c r="D758" s="87"/>
    </row>
    <row r="759" spans="1:4" ht="14.25" customHeight="1" x14ac:dyDescent="0.2">
      <c r="A759" s="82"/>
      <c r="B759" s="83" t="e">
        <f t="shared" si="4"/>
        <v>#REF!</v>
      </c>
      <c r="C759" s="96" t="e">
        <f t="shared" si="5"/>
        <v>#REF!</v>
      </c>
      <c r="D759" s="87"/>
    </row>
    <row r="760" spans="1:4" ht="14.25" customHeight="1" x14ac:dyDescent="0.2">
      <c r="A760" s="82"/>
      <c r="B760" s="83" t="e">
        <f t="shared" si="4"/>
        <v>#REF!</v>
      </c>
      <c r="C760" s="96" t="e">
        <f t="shared" si="5"/>
        <v>#REF!</v>
      </c>
      <c r="D760" s="87"/>
    </row>
    <row r="761" spans="1:4" ht="14.25" customHeight="1" x14ac:dyDescent="0.2">
      <c r="A761" s="82"/>
      <c r="B761" s="83" t="e">
        <f t="shared" si="4"/>
        <v>#REF!</v>
      </c>
      <c r="C761" s="96" t="e">
        <f t="shared" si="5"/>
        <v>#REF!</v>
      </c>
      <c r="D761" s="87"/>
    </row>
    <row r="762" spans="1:4" ht="14.25" customHeight="1" x14ac:dyDescent="0.2">
      <c r="A762" s="82"/>
      <c r="B762" s="83" t="e">
        <f t="shared" si="4"/>
        <v>#REF!</v>
      </c>
      <c r="C762" s="96" t="e">
        <f t="shared" si="5"/>
        <v>#REF!</v>
      </c>
      <c r="D762" s="87"/>
    </row>
    <row r="763" spans="1:4" ht="14.25" customHeight="1" x14ac:dyDescent="0.2">
      <c r="A763" s="82"/>
      <c r="B763" s="83" t="e">
        <f t="shared" si="4"/>
        <v>#REF!</v>
      </c>
      <c r="C763" s="96" t="e">
        <f t="shared" si="5"/>
        <v>#REF!</v>
      </c>
      <c r="D763" s="87"/>
    </row>
    <row r="764" spans="1:4" ht="14.25" customHeight="1" x14ac:dyDescent="0.2">
      <c r="A764" s="82"/>
      <c r="B764" s="83" t="e">
        <f t="shared" si="4"/>
        <v>#REF!</v>
      </c>
      <c r="C764" s="96" t="e">
        <f t="shared" si="5"/>
        <v>#REF!</v>
      </c>
      <c r="D764" s="87"/>
    </row>
    <row r="765" spans="1:4" ht="14.25" customHeight="1" x14ac:dyDescent="0.2">
      <c r="A765" s="82"/>
      <c r="B765" s="83" t="e">
        <f t="shared" si="4"/>
        <v>#REF!</v>
      </c>
      <c r="C765" s="96" t="e">
        <f t="shared" si="5"/>
        <v>#REF!</v>
      </c>
      <c r="D765" s="87"/>
    </row>
    <row r="766" spans="1:4" ht="14.25" customHeight="1" x14ac:dyDescent="0.2">
      <c r="A766" s="82"/>
      <c r="B766" s="83" t="e">
        <f t="shared" si="4"/>
        <v>#REF!</v>
      </c>
      <c r="C766" s="96" t="e">
        <f t="shared" si="5"/>
        <v>#REF!</v>
      </c>
      <c r="D766" s="87"/>
    </row>
    <row r="767" spans="1:4" ht="14.25" customHeight="1" x14ac:dyDescent="0.2">
      <c r="A767" s="82"/>
      <c r="B767" s="83" t="e">
        <f t="shared" si="4"/>
        <v>#REF!</v>
      </c>
      <c r="C767" s="96" t="e">
        <f t="shared" si="5"/>
        <v>#REF!</v>
      </c>
      <c r="D767" s="87"/>
    </row>
    <row r="768" spans="1:4" ht="14.25" customHeight="1" x14ac:dyDescent="0.2">
      <c r="A768" s="82"/>
      <c r="B768" s="83" t="e">
        <f t="shared" si="4"/>
        <v>#REF!</v>
      </c>
      <c r="C768" s="96" t="e">
        <f t="shared" si="5"/>
        <v>#REF!</v>
      </c>
      <c r="D768" s="87"/>
    </row>
    <row r="769" spans="1:4" ht="14.25" customHeight="1" x14ac:dyDescent="0.2">
      <c r="A769" s="82"/>
      <c r="B769" s="83" t="e">
        <f t="shared" si="4"/>
        <v>#REF!</v>
      </c>
      <c r="C769" s="96" t="e">
        <f t="shared" si="5"/>
        <v>#REF!</v>
      </c>
      <c r="D769" s="87"/>
    </row>
    <row r="770" spans="1:4" ht="14.25" customHeight="1" x14ac:dyDescent="0.2">
      <c r="A770" s="82"/>
      <c r="B770" s="83" t="e">
        <f t="shared" si="4"/>
        <v>#REF!</v>
      </c>
      <c r="C770" s="96" t="e">
        <f t="shared" si="5"/>
        <v>#REF!</v>
      </c>
      <c r="D770" s="87"/>
    </row>
    <row r="771" spans="1:4" ht="14.25" customHeight="1" x14ac:dyDescent="0.2">
      <c r="A771" s="82"/>
      <c r="B771" s="83" t="e">
        <f t="shared" si="4"/>
        <v>#REF!</v>
      </c>
      <c r="C771" s="96" t="e">
        <f t="shared" si="5"/>
        <v>#REF!</v>
      </c>
      <c r="D771" s="87"/>
    </row>
    <row r="772" spans="1:4" ht="14.25" customHeight="1" x14ac:dyDescent="0.2">
      <c r="A772" s="82"/>
      <c r="B772" s="83" t="e">
        <f t="shared" si="4"/>
        <v>#REF!</v>
      </c>
      <c r="C772" s="96" t="e">
        <f t="shared" si="5"/>
        <v>#REF!</v>
      </c>
      <c r="D772" s="87"/>
    </row>
    <row r="773" spans="1:4" ht="14.25" customHeight="1" x14ac:dyDescent="0.2">
      <c r="A773" s="82"/>
      <c r="B773" s="83" t="e">
        <f t="shared" si="4"/>
        <v>#REF!</v>
      </c>
      <c r="C773" s="96" t="e">
        <f t="shared" si="5"/>
        <v>#REF!</v>
      </c>
      <c r="D773" s="87"/>
    </row>
    <row r="774" spans="1:4" ht="14.25" customHeight="1" x14ac:dyDescent="0.2">
      <c r="A774" s="82"/>
      <c r="B774" s="83" t="e">
        <f t="shared" si="4"/>
        <v>#REF!</v>
      </c>
      <c r="C774" s="96" t="e">
        <f t="shared" si="5"/>
        <v>#REF!</v>
      </c>
      <c r="D774" s="87"/>
    </row>
    <row r="775" spans="1:4" ht="14.25" customHeight="1" x14ac:dyDescent="0.2">
      <c r="A775" s="82"/>
      <c r="B775" s="83" t="e">
        <f t="shared" si="4"/>
        <v>#REF!</v>
      </c>
      <c r="C775" s="96" t="e">
        <f t="shared" si="5"/>
        <v>#REF!</v>
      </c>
      <c r="D775" s="87"/>
    </row>
    <row r="776" spans="1:4" ht="14.25" customHeight="1" x14ac:dyDescent="0.2">
      <c r="A776" s="82"/>
      <c r="B776" s="83" t="e">
        <f t="shared" si="4"/>
        <v>#REF!</v>
      </c>
      <c r="C776" s="96" t="e">
        <f t="shared" si="5"/>
        <v>#REF!</v>
      </c>
      <c r="D776" s="87"/>
    </row>
    <row r="777" spans="1:4" ht="14.25" customHeight="1" x14ac:dyDescent="0.2">
      <c r="A777" s="82"/>
      <c r="B777" s="83" t="e">
        <f t="shared" si="4"/>
        <v>#REF!</v>
      </c>
      <c r="C777" s="96" t="e">
        <f t="shared" si="5"/>
        <v>#REF!</v>
      </c>
      <c r="D777" s="87"/>
    </row>
    <row r="778" spans="1:4" ht="14.25" customHeight="1" x14ac:dyDescent="0.2">
      <c r="A778" s="82"/>
      <c r="B778" s="83" t="e">
        <f t="shared" si="4"/>
        <v>#REF!</v>
      </c>
      <c r="C778" s="96" t="e">
        <f t="shared" si="5"/>
        <v>#REF!</v>
      </c>
      <c r="D778" s="87"/>
    </row>
    <row r="779" spans="1:4" ht="14.25" customHeight="1" x14ac:dyDescent="0.2">
      <c r="A779" s="82"/>
      <c r="B779" s="83" t="e">
        <f t="shared" si="4"/>
        <v>#REF!</v>
      </c>
      <c r="C779" s="96" t="e">
        <f t="shared" si="5"/>
        <v>#REF!</v>
      </c>
      <c r="D779" s="87"/>
    </row>
    <row r="780" spans="1:4" ht="14.25" customHeight="1" x14ac:dyDescent="0.2">
      <c r="A780" s="82"/>
      <c r="B780" s="83" t="e">
        <f t="shared" si="4"/>
        <v>#REF!</v>
      </c>
      <c r="C780" s="96" t="e">
        <f t="shared" si="5"/>
        <v>#REF!</v>
      </c>
      <c r="D780" s="87"/>
    </row>
    <row r="781" spans="1:4" ht="14.25" customHeight="1" x14ac:dyDescent="0.2">
      <c r="A781" s="82"/>
      <c r="B781" s="83" t="e">
        <f t="shared" si="4"/>
        <v>#REF!</v>
      </c>
      <c r="C781" s="96" t="e">
        <f t="shared" si="5"/>
        <v>#REF!</v>
      </c>
      <c r="D781" s="87"/>
    </row>
    <row r="782" spans="1:4" ht="14.25" customHeight="1" x14ac:dyDescent="0.2">
      <c r="A782" s="82"/>
      <c r="B782" s="83" t="e">
        <f t="shared" si="4"/>
        <v>#REF!</v>
      </c>
      <c r="C782" s="96" t="e">
        <f t="shared" si="5"/>
        <v>#REF!</v>
      </c>
      <c r="D782" s="87"/>
    </row>
    <row r="783" spans="1:4" ht="14.25" customHeight="1" x14ac:dyDescent="0.2">
      <c r="A783" s="82"/>
      <c r="B783" s="83" t="e">
        <f t="shared" si="4"/>
        <v>#REF!</v>
      </c>
      <c r="C783" s="96" t="e">
        <f t="shared" si="5"/>
        <v>#REF!</v>
      </c>
      <c r="D783" s="87"/>
    </row>
    <row r="784" spans="1:4" ht="14.25" customHeight="1" x14ac:dyDescent="0.2">
      <c r="A784" s="82"/>
      <c r="B784" s="83" t="e">
        <f t="shared" si="4"/>
        <v>#REF!</v>
      </c>
      <c r="C784" s="96" t="e">
        <f t="shared" si="5"/>
        <v>#REF!</v>
      </c>
      <c r="D784" s="87"/>
    </row>
    <row r="785" spans="1:4" ht="14.25" customHeight="1" x14ac:dyDescent="0.2">
      <c r="A785" s="82"/>
      <c r="B785" s="83" t="e">
        <f t="shared" si="4"/>
        <v>#REF!</v>
      </c>
      <c r="C785" s="96" t="e">
        <f t="shared" si="5"/>
        <v>#REF!</v>
      </c>
      <c r="D785" s="87"/>
    </row>
    <row r="786" spans="1:4" ht="14.25" customHeight="1" x14ac:dyDescent="0.2">
      <c r="A786" s="82"/>
      <c r="B786" s="83" t="e">
        <f t="shared" si="4"/>
        <v>#REF!</v>
      </c>
      <c r="C786" s="96" t="e">
        <f t="shared" si="5"/>
        <v>#REF!</v>
      </c>
      <c r="D786" s="87"/>
    </row>
    <row r="787" spans="1:4" ht="14.25" customHeight="1" x14ac:dyDescent="0.2">
      <c r="A787" s="82"/>
      <c r="B787" s="83" t="e">
        <f t="shared" si="4"/>
        <v>#REF!</v>
      </c>
      <c r="C787" s="96" t="e">
        <f t="shared" si="5"/>
        <v>#REF!</v>
      </c>
      <c r="D787" s="87"/>
    </row>
    <row r="788" spans="1:4" ht="14.25" customHeight="1" x14ac:dyDescent="0.2">
      <c r="A788" s="82"/>
      <c r="B788" s="83" t="e">
        <f t="shared" si="4"/>
        <v>#REF!</v>
      </c>
      <c r="C788" s="96" t="e">
        <f t="shared" si="5"/>
        <v>#REF!</v>
      </c>
      <c r="D788" s="87"/>
    </row>
    <row r="789" spans="1:4" ht="14.25" customHeight="1" x14ac:dyDescent="0.2">
      <c r="A789" s="82"/>
      <c r="B789" s="83" t="e">
        <f t="shared" si="4"/>
        <v>#REF!</v>
      </c>
      <c r="C789" s="96" t="e">
        <f t="shared" si="5"/>
        <v>#REF!</v>
      </c>
      <c r="D789" s="87"/>
    </row>
    <row r="790" spans="1:4" ht="14.25" customHeight="1" x14ac:dyDescent="0.2">
      <c r="A790" s="82"/>
      <c r="B790" s="83" t="e">
        <f t="shared" si="4"/>
        <v>#REF!</v>
      </c>
      <c r="C790" s="96" t="e">
        <f t="shared" si="5"/>
        <v>#REF!</v>
      </c>
      <c r="D790" s="87"/>
    </row>
    <row r="791" spans="1:4" ht="14.25" customHeight="1" x14ac:dyDescent="0.2">
      <c r="A791" s="82"/>
      <c r="B791" s="83" t="e">
        <f t="shared" si="4"/>
        <v>#REF!</v>
      </c>
      <c r="C791" s="96" t="e">
        <f t="shared" si="5"/>
        <v>#REF!</v>
      </c>
      <c r="D791" s="87"/>
    </row>
    <row r="792" spans="1:4" ht="14.25" customHeight="1" x14ac:dyDescent="0.2">
      <c r="A792" s="82"/>
      <c r="B792" s="83" t="e">
        <f t="shared" si="4"/>
        <v>#REF!</v>
      </c>
      <c r="C792" s="96" t="e">
        <f t="shared" si="5"/>
        <v>#REF!</v>
      </c>
      <c r="D792" s="87"/>
    </row>
    <row r="793" spans="1:4" ht="14.25" customHeight="1" x14ac:dyDescent="0.2">
      <c r="A793" s="82"/>
      <c r="B793" s="83" t="e">
        <f t="shared" si="4"/>
        <v>#REF!</v>
      </c>
      <c r="C793" s="96" t="e">
        <f t="shared" si="5"/>
        <v>#REF!</v>
      </c>
      <c r="D793" s="87"/>
    </row>
    <row r="794" spans="1:4" ht="14.25" customHeight="1" x14ac:dyDescent="0.2">
      <c r="A794" s="82"/>
      <c r="B794" s="83" t="e">
        <f t="shared" si="4"/>
        <v>#REF!</v>
      </c>
      <c r="C794" s="96" t="e">
        <f t="shared" si="5"/>
        <v>#REF!</v>
      </c>
      <c r="D794" s="87"/>
    </row>
    <row r="795" spans="1:4" ht="14.25" customHeight="1" x14ac:dyDescent="0.2">
      <c r="A795" s="82"/>
      <c r="B795" s="83" t="e">
        <f t="shared" si="4"/>
        <v>#REF!</v>
      </c>
      <c r="C795" s="96" t="e">
        <f t="shared" si="5"/>
        <v>#REF!</v>
      </c>
      <c r="D795" s="87"/>
    </row>
    <row r="796" spans="1:4" ht="14.25" customHeight="1" x14ac:dyDescent="0.2">
      <c r="A796" s="82"/>
      <c r="B796" s="83" t="e">
        <f t="shared" si="4"/>
        <v>#REF!</v>
      </c>
      <c r="C796" s="96" t="e">
        <f t="shared" si="5"/>
        <v>#REF!</v>
      </c>
      <c r="D796" s="87"/>
    </row>
    <row r="797" spans="1:4" ht="14.25" customHeight="1" x14ac:dyDescent="0.2">
      <c r="A797" s="82"/>
      <c r="B797" s="83" t="e">
        <f t="shared" si="4"/>
        <v>#REF!</v>
      </c>
      <c r="C797" s="96" t="e">
        <f t="shared" si="5"/>
        <v>#REF!</v>
      </c>
      <c r="D797" s="87"/>
    </row>
    <row r="798" spans="1:4" ht="14.25" customHeight="1" x14ac:dyDescent="0.2">
      <c r="A798" s="82"/>
      <c r="B798" s="83" t="e">
        <f t="shared" si="4"/>
        <v>#REF!</v>
      </c>
      <c r="C798" s="96" t="e">
        <f t="shared" si="5"/>
        <v>#REF!</v>
      </c>
      <c r="D798" s="87"/>
    </row>
    <row r="799" spans="1:4" ht="14.25" customHeight="1" x14ac:dyDescent="0.2">
      <c r="A799" s="82"/>
      <c r="B799" s="83" t="e">
        <f t="shared" si="4"/>
        <v>#REF!</v>
      </c>
      <c r="C799" s="96" t="e">
        <f t="shared" si="5"/>
        <v>#REF!</v>
      </c>
      <c r="D799" s="87"/>
    </row>
    <row r="800" spans="1:4" ht="14.25" customHeight="1" x14ac:dyDescent="0.2">
      <c r="A800" s="82"/>
      <c r="B800" s="83" t="e">
        <f t="shared" si="4"/>
        <v>#REF!</v>
      </c>
      <c r="C800" s="96" t="e">
        <f t="shared" si="5"/>
        <v>#REF!</v>
      </c>
      <c r="D800" s="87"/>
    </row>
    <row r="801" spans="1:4" ht="14.25" customHeight="1" x14ac:dyDescent="0.2">
      <c r="A801" s="82"/>
      <c r="D801" s="87"/>
    </row>
    <row r="802" spans="1:4" ht="14.25" customHeight="1" x14ac:dyDescent="0.2">
      <c r="A802" s="82"/>
      <c r="D802" s="87"/>
    </row>
    <row r="803" spans="1:4" ht="14.25" customHeight="1" x14ac:dyDescent="0.2">
      <c r="A803" s="82"/>
      <c r="D803" s="87"/>
    </row>
    <row r="804" spans="1:4" ht="14.25" customHeight="1" x14ac:dyDescent="0.2">
      <c r="A804" s="82"/>
      <c r="D804" s="87"/>
    </row>
    <row r="805" spans="1:4" ht="14.25" customHeight="1" x14ac:dyDescent="0.2">
      <c r="A805" s="82"/>
      <c r="D805" s="87"/>
    </row>
    <row r="806" spans="1:4" ht="14.25" customHeight="1" x14ac:dyDescent="0.2">
      <c r="A806" s="82"/>
      <c r="D806" s="87"/>
    </row>
    <row r="807" spans="1:4" ht="14.25" customHeight="1" x14ac:dyDescent="0.2">
      <c r="A807" s="82"/>
      <c r="D807" s="87"/>
    </row>
    <row r="808" spans="1:4" ht="14.25" customHeight="1" x14ac:dyDescent="0.2">
      <c r="A808" s="82"/>
      <c r="D808" s="87"/>
    </row>
    <row r="809" spans="1:4" ht="14.25" customHeight="1" x14ac:dyDescent="0.2">
      <c r="A809" s="82"/>
      <c r="D809" s="87"/>
    </row>
    <row r="810" spans="1:4" ht="14.25" customHeight="1" x14ac:dyDescent="0.2">
      <c r="A810" s="82"/>
      <c r="D810" s="87"/>
    </row>
    <row r="811" spans="1:4" ht="14.25" customHeight="1" x14ac:dyDescent="0.2">
      <c r="A811" s="82"/>
      <c r="D811" s="87"/>
    </row>
    <row r="812" spans="1:4" ht="14.25" customHeight="1" x14ac:dyDescent="0.2">
      <c r="A812" s="82"/>
      <c r="D812" s="87"/>
    </row>
    <row r="813" spans="1:4" ht="14.25" customHeight="1" x14ac:dyDescent="0.2">
      <c r="A813" s="82"/>
      <c r="D813" s="87"/>
    </row>
    <row r="814" spans="1:4" ht="14.25" customHeight="1" x14ac:dyDescent="0.2">
      <c r="A814" s="82"/>
      <c r="D814" s="87"/>
    </row>
    <row r="815" spans="1:4" ht="14.25" customHeight="1" x14ac:dyDescent="0.2">
      <c r="A815" s="82"/>
      <c r="D815" s="87"/>
    </row>
    <row r="816" spans="1:4" ht="14.25" customHeight="1" x14ac:dyDescent="0.2">
      <c r="A816" s="82"/>
      <c r="D816" s="87"/>
    </row>
    <row r="817" spans="1:4" ht="14.25" customHeight="1" x14ac:dyDescent="0.2">
      <c r="A817" s="82"/>
      <c r="D817" s="87"/>
    </row>
    <row r="818" spans="1:4" ht="14.25" customHeight="1" x14ac:dyDescent="0.2">
      <c r="A818" s="82"/>
      <c r="D818" s="87"/>
    </row>
    <row r="819" spans="1:4" ht="14.25" customHeight="1" x14ac:dyDescent="0.2">
      <c r="A819" s="82"/>
      <c r="D819" s="87"/>
    </row>
    <row r="820" spans="1:4" ht="14.25" customHeight="1" x14ac:dyDescent="0.2">
      <c r="A820" s="82"/>
      <c r="D820" s="87"/>
    </row>
    <row r="821" spans="1:4" ht="14.25" customHeight="1" x14ac:dyDescent="0.2">
      <c r="A821" s="82"/>
      <c r="D821" s="87"/>
    </row>
    <row r="822" spans="1:4" ht="14.25" customHeight="1" x14ac:dyDescent="0.2">
      <c r="A822" s="82"/>
      <c r="D822" s="87"/>
    </row>
    <row r="823" spans="1:4" ht="14.25" customHeight="1" x14ac:dyDescent="0.2">
      <c r="A823" s="82"/>
      <c r="D823" s="87"/>
    </row>
    <row r="824" spans="1:4" ht="14.25" customHeight="1" x14ac:dyDescent="0.2">
      <c r="A824" s="82"/>
      <c r="D824" s="87"/>
    </row>
    <row r="825" spans="1:4" ht="14.25" customHeight="1" x14ac:dyDescent="0.2">
      <c r="A825" s="82"/>
      <c r="D825" s="87"/>
    </row>
    <row r="826" spans="1:4" ht="14.25" customHeight="1" x14ac:dyDescent="0.2">
      <c r="A826" s="82"/>
      <c r="D826" s="87"/>
    </row>
    <row r="827" spans="1:4" ht="14.25" customHeight="1" x14ac:dyDescent="0.2">
      <c r="A827" s="82"/>
      <c r="D827" s="87"/>
    </row>
    <row r="828" spans="1:4" ht="14.25" customHeight="1" x14ac:dyDescent="0.2">
      <c r="A828" s="82"/>
      <c r="D828" s="87"/>
    </row>
    <row r="829" spans="1:4" ht="14.25" customHeight="1" x14ac:dyDescent="0.2">
      <c r="A829" s="82"/>
      <c r="D829" s="87"/>
    </row>
    <row r="830" spans="1:4" ht="14.25" customHeight="1" x14ac:dyDescent="0.2">
      <c r="A830" s="82"/>
      <c r="D830" s="87"/>
    </row>
    <row r="831" spans="1:4" ht="14.25" customHeight="1" x14ac:dyDescent="0.2">
      <c r="A831" s="82"/>
      <c r="D831" s="87"/>
    </row>
    <row r="832" spans="1:4" ht="14.25" customHeight="1" x14ac:dyDescent="0.2">
      <c r="A832" s="82"/>
      <c r="D832" s="87"/>
    </row>
    <row r="833" spans="1:4" ht="14.25" customHeight="1" x14ac:dyDescent="0.2">
      <c r="A833" s="82"/>
      <c r="D833" s="87"/>
    </row>
    <row r="834" spans="1:4" ht="14.25" customHeight="1" x14ac:dyDescent="0.2">
      <c r="A834" s="82"/>
      <c r="D834" s="87"/>
    </row>
    <row r="835" spans="1:4" ht="14.25" customHeight="1" x14ac:dyDescent="0.2">
      <c r="A835" s="82"/>
      <c r="D835" s="87"/>
    </row>
    <row r="836" spans="1:4" ht="14.25" customHeight="1" x14ac:dyDescent="0.2">
      <c r="A836" s="82"/>
      <c r="D836" s="87"/>
    </row>
    <row r="837" spans="1:4" ht="14.25" customHeight="1" x14ac:dyDescent="0.2">
      <c r="A837" s="82"/>
      <c r="D837" s="87"/>
    </row>
    <row r="838" spans="1:4" ht="14.25" customHeight="1" x14ac:dyDescent="0.2">
      <c r="A838" s="82"/>
      <c r="D838" s="87"/>
    </row>
    <row r="839" spans="1:4" ht="14.25" customHeight="1" x14ac:dyDescent="0.2">
      <c r="A839" s="82"/>
      <c r="D839" s="87"/>
    </row>
    <row r="840" spans="1:4" ht="14.25" customHeight="1" x14ac:dyDescent="0.2">
      <c r="A840" s="82"/>
      <c r="D840" s="87"/>
    </row>
    <row r="841" spans="1:4" ht="14.25" customHeight="1" x14ac:dyDescent="0.2">
      <c r="A841" s="82"/>
      <c r="D841" s="87"/>
    </row>
    <row r="842" spans="1:4" ht="14.25" customHeight="1" x14ac:dyDescent="0.2">
      <c r="A842" s="82"/>
      <c r="D842" s="87"/>
    </row>
    <row r="843" spans="1:4" ht="14.25" customHeight="1" x14ac:dyDescent="0.2">
      <c r="A843" s="82"/>
      <c r="D843" s="87"/>
    </row>
    <row r="844" spans="1:4" ht="14.25" customHeight="1" x14ac:dyDescent="0.2">
      <c r="A844" s="82"/>
      <c r="D844" s="87"/>
    </row>
    <row r="845" spans="1:4" ht="14.25" customHeight="1" x14ac:dyDescent="0.2">
      <c r="A845" s="82"/>
      <c r="D845" s="87"/>
    </row>
    <row r="846" spans="1:4" ht="14.25" customHeight="1" x14ac:dyDescent="0.2">
      <c r="A846" s="82"/>
      <c r="D846" s="87"/>
    </row>
    <row r="847" spans="1:4" ht="14.25" customHeight="1" x14ac:dyDescent="0.2">
      <c r="A847" s="82"/>
      <c r="D847" s="87"/>
    </row>
    <row r="848" spans="1:4" ht="14.25" customHeight="1" x14ac:dyDescent="0.2">
      <c r="A848" s="82"/>
      <c r="D848" s="87"/>
    </row>
    <row r="849" spans="1:4" ht="14.25" customHeight="1" x14ac:dyDescent="0.2">
      <c r="A849" s="82"/>
      <c r="D849" s="87"/>
    </row>
    <row r="850" spans="1:4" ht="14.25" customHeight="1" x14ac:dyDescent="0.2">
      <c r="A850" s="82"/>
      <c r="D850" s="87"/>
    </row>
    <row r="851" spans="1:4" ht="14.25" customHeight="1" x14ac:dyDescent="0.2">
      <c r="A851" s="82"/>
      <c r="D851" s="87"/>
    </row>
    <row r="852" spans="1:4" ht="14.25" customHeight="1" x14ac:dyDescent="0.2">
      <c r="A852" s="82"/>
      <c r="D852" s="87"/>
    </row>
    <row r="853" spans="1:4" ht="14.25" customHeight="1" x14ac:dyDescent="0.2">
      <c r="A853" s="82"/>
      <c r="D853" s="87"/>
    </row>
    <row r="854" spans="1:4" ht="14.25" customHeight="1" x14ac:dyDescent="0.2">
      <c r="A854" s="82"/>
      <c r="D854" s="87"/>
    </row>
    <row r="855" spans="1:4" ht="14.25" customHeight="1" x14ac:dyDescent="0.2">
      <c r="A855" s="82"/>
      <c r="D855" s="87"/>
    </row>
    <row r="856" spans="1:4" ht="14.25" customHeight="1" x14ac:dyDescent="0.2">
      <c r="A856" s="82"/>
      <c r="D856" s="87"/>
    </row>
    <row r="857" spans="1:4" ht="14.25" customHeight="1" x14ac:dyDescent="0.2">
      <c r="A857" s="82"/>
      <c r="D857" s="87"/>
    </row>
    <row r="858" spans="1:4" ht="14.25" customHeight="1" x14ac:dyDescent="0.2">
      <c r="A858" s="82"/>
      <c r="D858" s="87"/>
    </row>
    <row r="859" spans="1:4" ht="14.25" customHeight="1" x14ac:dyDescent="0.2">
      <c r="A859" s="82"/>
      <c r="D859" s="87"/>
    </row>
    <row r="860" spans="1:4" ht="14.25" customHeight="1" x14ac:dyDescent="0.2">
      <c r="A860" s="82"/>
      <c r="D860" s="87"/>
    </row>
    <row r="861" spans="1:4" ht="14.25" customHeight="1" x14ac:dyDescent="0.2">
      <c r="A861" s="82"/>
      <c r="D861" s="87"/>
    </row>
    <row r="862" spans="1:4" ht="14.25" customHeight="1" x14ac:dyDescent="0.2">
      <c r="A862" s="82"/>
      <c r="D862" s="87"/>
    </row>
    <row r="863" spans="1:4" ht="14.25" customHeight="1" x14ac:dyDescent="0.2">
      <c r="A863" s="82"/>
      <c r="D863" s="87"/>
    </row>
    <row r="864" spans="1:4" ht="14.25" customHeight="1" x14ac:dyDescent="0.2">
      <c r="A864" s="82"/>
      <c r="D864" s="87"/>
    </row>
    <row r="865" spans="1:4" ht="14.25" customHeight="1" x14ac:dyDescent="0.2">
      <c r="A865" s="82"/>
      <c r="D865" s="87"/>
    </row>
    <row r="866" spans="1:4" ht="14.25" customHeight="1" x14ac:dyDescent="0.2">
      <c r="A866" s="82"/>
      <c r="D866" s="87"/>
    </row>
    <row r="867" spans="1:4" ht="14.25" customHeight="1" x14ac:dyDescent="0.2">
      <c r="A867" s="82"/>
      <c r="D867" s="87"/>
    </row>
    <row r="868" spans="1:4" ht="14.25" customHeight="1" x14ac:dyDescent="0.2">
      <c r="A868" s="82"/>
      <c r="D868" s="87"/>
    </row>
    <row r="869" spans="1:4" ht="14.25" customHeight="1" x14ac:dyDescent="0.2">
      <c r="A869" s="82"/>
      <c r="D869" s="87"/>
    </row>
    <row r="870" spans="1:4" ht="14.25" customHeight="1" x14ac:dyDescent="0.2">
      <c r="A870" s="82"/>
      <c r="D870" s="87"/>
    </row>
    <row r="871" spans="1:4" ht="14.25" customHeight="1" x14ac:dyDescent="0.2">
      <c r="A871" s="82"/>
      <c r="D871" s="87"/>
    </row>
    <row r="872" spans="1:4" ht="14.25" customHeight="1" x14ac:dyDescent="0.2">
      <c r="A872" s="82"/>
      <c r="D872" s="87"/>
    </row>
    <row r="873" spans="1:4" ht="14.25" customHeight="1" x14ac:dyDescent="0.2">
      <c r="A873" s="82"/>
      <c r="D873" s="87"/>
    </row>
    <row r="874" spans="1:4" ht="14.25" customHeight="1" x14ac:dyDescent="0.2">
      <c r="A874" s="82"/>
      <c r="D874" s="87"/>
    </row>
    <row r="875" spans="1:4" ht="14.25" customHeight="1" x14ac:dyDescent="0.2">
      <c r="A875" s="82"/>
      <c r="D875" s="87"/>
    </row>
    <row r="876" spans="1:4" ht="14.25" customHeight="1" x14ac:dyDescent="0.2">
      <c r="A876" s="82"/>
      <c r="D876" s="87"/>
    </row>
    <row r="877" spans="1:4" ht="14.25" customHeight="1" x14ac:dyDescent="0.2">
      <c r="A877" s="82"/>
      <c r="D877" s="87"/>
    </row>
    <row r="878" spans="1:4" ht="14.25" customHeight="1" x14ac:dyDescent="0.2">
      <c r="A878" s="82"/>
      <c r="D878" s="87"/>
    </row>
    <row r="879" spans="1:4" ht="14.25" customHeight="1" x14ac:dyDescent="0.2">
      <c r="A879" s="82"/>
      <c r="D879" s="87"/>
    </row>
    <row r="880" spans="1:4" ht="14.25" customHeight="1" x14ac:dyDescent="0.2">
      <c r="A880" s="82"/>
      <c r="D880" s="87"/>
    </row>
    <row r="881" spans="1:4" ht="14.25" customHeight="1" x14ac:dyDescent="0.2">
      <c r="A881" s="82"/>
      <c r="D881" s="87"/>
    </row>
    <row r="882" spans="1:4" ht="14.25" customHeight="1" x14ac:dyDescent="0.2">
      <c r="A882" s="82"/>
      <c r="D882" s="87"/>
    </row>
    <row r="883" spans="1:4" ht="14.25" customHeight="1" x14ac:dyDescent="0.2">
      <c r="A883" s="82"/>
      <c r="D883" s="87"/>
    </row>
    <row r="884" spans="1:4" ht="14.25" customHeight="1" x14ac:dyDescent="0.2">
      <c r="A884" s="82"/>
      <c r="D884" s="87"/>
    </row>
    <row r="885" spans="1:4" ht="14.25" customHeight="1" x14ac:dyDescent="0.2">
      <c r="A885" s="82"/>
      <c r="D885" s="87"/>
    </row>
    <row r="886" spans="1:4" ht="14.25" customHeight="1" x14ac:dyDescent="0.2">
      <c r="A886" s="82"/>
      <c r="D886" s="87"/>
    </row>
    <row r="887" spans="1:4" ht="14.25" customHeight="1" x14ac:dyDescent="0.2">
      <c r="A887" s="82"/>
      <c r="D887" s="87"/>
    </row>
    <row r="888" spans="1:4" ht="14.25" customHeight="1" x14ac:dyDescent="0.2">
      <c r="A888" s="82"/>
      <c r="D888" s="87"/>
    </row>
    <row r="889" spans="1:4" ht="14.25" customHeight="1" x14ac:dyDescent="0.2">
      <c r="A889" s="82"/>
      <c r="D889" s="87"/>
    </row>
    <row r="890" spans="1:4" ht="14.25" customHeight="1" x14ac:dyDescent="0.2">
      <c r="A890" s="82"/>
      <c r="D890" s="87"/>
    </row>
    <row r="891" spans="1:4" ht="14.25" customHeight="1" x14ac:dyDescent="0.2">
      <c r="A891" s="82"/>
      <c r="D891" s="87"/>
    </row>
    <row r="892" spans="1:4" ht="14.25" customHeight="1" x14ac:dyDescent="0.2">
      <c r="A892" s="82"/>
      <c r="D892" s="87"/>
    </row>
    <row r="893" spans="1:4" ht="14.25" customHeight="1" x14ac:dyDescent="0.2">
      <c r="A893" s="82"/>
      <c r="D893" s="87"/>
    </row>
    <row r="894" spans="1:4" ht="14.25" customHeight="1" x14ac:dyDescent="0.2">
      <c r="A894" s="82"/>
      <c r="D894" s="87"/>
    </row>
    <row r="895" spans="1:4" ht="14.25" customHeight="1" x14ac:dyDescent="0.2">
      <c r="A895" s="82"/>
      <c r="D895" s="87"/>
    </row>
    <row r="896" spans="1:4" ht="14.25" customHeight="1" x14ac:dyDescent="0.2">
      <c r="A896" s="82"/>
      <c r="D896" s="87"/>
    </row>
    <row r="897" spans="1:4" ht="14.25" customHeight="1" x14ac:dyDescent="0.2">
      <c r="A897" s="82"/>
      <c r="D897" s="87"/>
    </row>
    <row r="898" spans="1:4" ht="14.25" customHeight="1" x14ac:dyDescent="0.2">
      <c r="A898" s="82"/>
      <c r="D898" s="87"/>
    </row>
    <row r="899" spans="1:4" ht="14.25" customHeight="1" x14ac:dyDescent="0.2">
      <c r="A899" s="82"/>
      <c r="D899" s="87"/>
    </row>
    <row r="900" spans="1:4" ht="14.25" customHeight="1" x14ac:dyDescent="0.2">
      <c r="A900" s="82"/>
      <c r="D900" s="87"/>
    </row>
    <row r="901" spans="1:4" ht="14.25" customHeight="1" x14ac:dyDescent="0.2">
      <c r="A901" s="82"/>
      <c r="D901" s="87"/>
    </row>
    <row r="902" spans="1:4" ht="14.25" customHeight="1" x14ac:dyDescent="0.2">
      <c r="A902" s="82"/>
      <c r="D902" s="87"/>
    </row>
    <row r="903" spans="1:4" ht="14.25" customHeight="1" x14ac:dyDescent="0.2">
      <c r="A903" s="82"/>
      <c r="D903" s="87"/>
    </row>
    <row r="904" spans="1:4" ht="14.25" customHeight="1" x14ac:dyDescent="0.2">
      <c r="A904" s="82"/>
      <c r="D904" s="87"/>
    </row>
    <row r="905" spans="1:4" ht="14.25" customHeight="1" x14ac:dyDescent="0.2">
      <c r="A905" s="82"/>
      <c r="D905" s="87"/>
    </row>
    <row r="906" spans="1:4" ht="14.25" customHeight="1" x14ac:dyDescent="0.2">
      <c r="A906" s="82"/>
      <c r="D906" s="87"/>
    </row>
    <row r="907" spans="1:4" ht="14.25" customHeight="1" x14ac:dyDescent="0.2">
      <c r="A907" s="82"/>
      <c r="D907" s="87"/>
    </row>
    <row r="908" spans="1:4" ht="14.25" customHeight="1" x14ac:dyDescent="0.2">
      <c r="A908" s="82"/>
      <c r="D908" s="87"/>
    </row>
    <row r="909" spans="1:4" ht="14.25" customHeight="1" x14ac:dyDescent="0.2">
      <c r="A909" s="82"/>
      <c r="D909" s="87"/>
    </row>
    <row r="910" spans="1:4" ht="14.25" customHeight="1" x14ac:dyDescent="0.2">
      <c r="A910" s="82"/>
      <c r="D910" s="87"/>
    </row>
    <row r="911" spans="1:4" ht="14.25" customHeight="1" x14ac:dyDescent="0.2">
      <c r="A911" s="82"/>
      <c r="D911" s="87"/>
    </row>
    <row r="912" spans="1:4" ht="14.25" customHeight="1" x14ac:dyDescent="0.2">
      <c r="A912" s="82"/>
      <c r="D912" s="87"/>
    </row>
    <row r="913" spans="1:4" ht="14.25" customHeight="1" x14ac:dyDescent="0.2">
      <c r="A913" s="82"/>
      <c r="D913" s="87"/>
    </row>
    <row r="914" spans="1:4" ht="14.25" customHeight="1" x14ac:dyDescent="0.2">
      <c r="A914" s="82"/>
      <c r="D914" s="87"/>
    </row>
    <row r="915" spans="1:4" ht="14.25" customHeight="1" x14ac:dyDescent="0.2">
      <c r="A915" s="82"/>
      <c r="D915" s="87"/>
    </row>
    <row r="916" spans="1:4" ht="14.25" customHeight="1" x14ac:dyDescent="0.2">
      <c r="A916" s="82"/>
      <c r="D916" s="87"/>
    </row>
    <row r="917" spans="1:4" ht="14.25" customHeight="1" x14ac:dyDescent="0.2">
      <c r="A917" s="82"/>
      <c r="D917" s="87"/>
    </row>
    <row r="918" spans="1:4" ht="14.25" customHeight="1" x14ac:dyDescent="0.2">
      <c r="A918" s="82"/>
      <c r="D918" s="87"/>
    </row>
    <row r="919" spans="1:4" ht="14.25" customHeight="1" x14ac:dyDescent="0.2">
      <c r="A919" s="82"/>
      <c r="D919" s="87"/>
    </row>
    <row r="920" spans="1:4" ht="14.25" customHeight="1" x14ac:dyDescent="0.2">
      <c r="A920" s="82"/>
      <c r="D920" s="87"/>
    </row>
    <row r="921" spans="1:4" ht="14.25" customHeight="1" x14ac:dyDescent="0.2">
      <c r="A921" s="82"/>
      <c r="D921" s="87"/>
    </row>
    <row r="922" spans="1:4" ht="14.25" customHeight="1" x14ac:dyDescent="0.2">
      <c r="A922" s="82"/>
      <c r="D922" s="87"/>
    </row>
    <row r="923" spans="1:4" ht="14.25" customHeight="1" x14ac:dyDescent="0.2">
      <c r="A923" s="82"/>
      <c r="D923" s="87"/>
    </row>
    <row r="924" spans="1:4" ht="14.25" customHeight="1" x14ac:dyDescent="0.2">
      <c r="A924" s="82"/>
      <c r="D924" s="87"/>
    </row>
    <row r="925" spans="1:4" ht="14.25" customHeight="1" x14ac:dyDescent="0.2">
      <c r="A925" s="82"/>
      <c r="D925" s="87"/>
    </row>
    <row r="926" spans="1:4" ht="14.25" customHeight="1" x14ac:dyDescent="0.2">
      <c r="A926" s="82"/>
      <c r="D926" s="87"/>
    </row>
    <row r="927" spans="1:4" ht="14.25" customHeight="1" x14ac:dyDescent="0.2">
      <c r="A927" s="82"/>
      <c r="D927" s="87"/>
    </row>
    <row r="928" spans="1:4" ht="14.25" customHeight="1" x14ac:dyDescent="0.2">
      <c r="A928" s="82"/>
      <c r="D928" s="87"/>
    </row>
    <row r="929" spans="1:4" ht="14.25" customHeight="1" x14ac:dyDescent="0.2">
      <c r="A929" s="82"/>
      <c r="D929" s="87"/>
    </row>
    <row r="930" spans="1:4" ht="14.25" customHeight="1" x14ac:dyDescent="0.2">
      <c r="A930" s="82"/>
      <c r="D930" s="87"/>
    </row>
    <row r="931" spans="1:4" ht="14.25" customHeight="1" x14ac:dyDescent="0.2">
      <c r="A931" s="82"/>
      <c r="D931" s="87"/>
    </row>
    <row r="932" spans="1:4" ht="14.25" customHeight="1" x14ac:dyDescent="0.2">
      <c r="A932" s="82"/>
      <c r="D932" s="87"/>
    </row>
    <row r="933" spans="1:4" ht="14.25" customHeight="1" x14ac:dyDescent="0.2">
      <c r="A933" s="82"/>
      <c r="D933" s="87"/>
    </row>
    <row r="934" spans="1:4" ht="14.25" customHeight="1" x14ac:dyDescent="0.2">
      <c r="A934" s="82"/>
      <c r="D934" s="87"/>
    </row>
    <row r="935" spans="1:4" ht="14.25" customHeight="1" x14ac:dyDescent="0.2">
      <c r="A935" s="82"/>
      <c r="D935" s="87"/>
    </row>
    <row r="936" spans="1:4" ht="14.25" customHeight="1" x14ac:dyDescent="0.2">
      <c r="A936" s="82"/>
      <c r="D936" s="87"/>
    </row>
    <row r="937" spans="1:4" ht="14.25" customHeight="1" x14ac:dyDescent="0.2">
      <c r="A937" s="82"/>
      <c r="D937" s="87"/>
    </row>
    <row r="938" spans="1:4" ht="14.25" customHeight="1" x14ac:dyDescent="0.2">
      <c r="A938" s="82"/>
      <c r="D938" s="87"/>
    </row>
    <row r="939" spans="1:4" ht="14.25" customHeight="1" x14ac:dyDescent="0.2">
      <c r="A939" s="82"/>
      <c r="D939" s="87"/>
    </row>
    <row r="940" spans="1:4" ht="14.25" customHeight="1" x14ac:dyDescent="0.2">
      <c r="A940" s="82"/>
      <c r="D940" s="87"/>
    </row>
    <row r="941" spans="1:4" ht="14.25" customHeight="1" x14ac:dyDescent="0.2">
      <c r="A941" s="82"/>
      <c r="D941" s="87"/>
    </row>
    <row r="942" spans="1:4" ht="14.25" customHeight="1" x14ac:dyDescent="0.2">
      <c r="A942" s="82"/>
      <c r="D942" s="87"/>
    </row>
    <row r="943" spans="1:4" ht="14.25" customHeight="1" x14ac:dyDescent="0.2">
      <c r="A943" s="82"/>
      <c r="D943" s="87"/>
    </row>
    <row r="944" spans="1:4" ht="14.25" customHeight="1" x14ac:dyDescent="0.2">
      <c r="A944" s="82"/>
      <c r="D944" s="87"/>
    </row>
    <row r="945" spans="1:4" ht="14.25" customHeight="1" x14ac:dyDescent="0.2">
      <c r="A945" s="82"/>
      <c r="D945" s="87"/>
    </row>
    <row r="946" spans="1:4" ht="14.25" customHeight="1" x14ac:dyDescent="0.2">
      <c r="A946" s="82"/>
      <c r="D946" s="87"/>
    </row>
    <row r="947" spans="1:4" ht="14.25" customHeight="1" x14ac:dyDescent="0.2">
      <c r="A947" s="82"/>
      <c r="D947" s="87"/>
    </row>
    <row r="948" spans="1:4" ht="14.25" customHeight="1" x14ac:dyDescent="0.2">
      <c r="A948" s="82"/>
      <c r="D948" s="87"/>
    </row>
    <row r="949" spans="1:4" ht="14.25" customHeight="1" x14ac:dyDescent="0.2">
      <c r="A949" s="82"/>
      <c r="D949" s="87"/>
    </row>
    <row r="950" spans="1:4" ht="14.25" customHeight="1" x14ac:dyDescent="0.2">
      <c r="A950" s="82"/>
      <c r="D950" s="87"/>
    </row>
    <row r="951" spans="1:4" ht="14.25" customHeight="1" x14ac:dyDescent="0.2">
      <c r="A951" s="82"/>
      <c r="D951" s="87"/>
    </row>
    <row r="952" spans="1:4" ht="14.25" customHeight="1" x14ac:dyDescent="0.2">
      <c r="A952" s="82"/>
      <c r="D952" s="87"/>
    </row>
    <row r="953" spans="1:4" ht="14.25" customHeight="1" x14ac:dyDescent="0.2">
      <c r="A953" s="82"/>
      <c r="D953" s="87"/>
    </row>
    <row r="954" spans="1:4" ht="14.25" customHeight="1" x14ac:dyDescent="0.2">
      <c r="A954" s="82"/>
      <c r="D954" s="87"/>
    </row>
    <row r="955" spans="1:4" ht="14.25" customHeight="1" x14ac:dyDescent="0.2">
      <c r="A955" s="82"/>
      <c r="D955" s="87"/>
    </row>
    <row r="956" spans="1:4" ht="14.25" customHeight="1" x14ac:dyDescent="0.2">
      <c r="A956" s="82"/>
      <c r="D956" s="87"/>
    </row>
    <row r="957" spans="1:4" ht="14.25" customHeight="1" x14ac:dyDescent="0.2">
      <c r="A957" s="82"/>
      <c r="D957" s="87"/>
    </row>
    <row r="958" spans="1:4" ht="14.25" customHeight="1" x14ac:dyDescent="0.2">
      <c r="A958" s="82"/>
      <c r="D958" s="87"/>
    </row>
    <row r="959" spans="1:4" ht="14.25" customHeight="1" x14ac:dyDescent="0.2">
      <c r="A959" s="82"/>
      <c r="D959" s="87"/>
    </row>
    <row r="960" spans="1:4" ht="14.25" customHeight="1" x14ac:dyDescent="0.2">
      <c r="A960" s="82"/>
      <c r="D960" s="87"/>
    </row>
    <row r="961" spans="1:4" ht="14.25" customHeight="1" x14ac:dyDescent="0.2">
      <c r="A961" s="82"/>
      <c r="D961" s="87"/>
    </row>
    <row r="962" spans="1:4" ht="14.25" customHeight="1" x14ac:dyDescent="0.2">
      <c r="A962" s="82"/>
      <c r="D962" s="87"/>
    </row>
    <row r="963" spans="1:4" ht="14.25" customHeight="1" x14ac:dyDescent="0.2">
      <c r="A963" s="82"/>
      <c r="D963" s="87"/>
    </row>
    <row r="964" spans="1:4" ht="14.25" customHeight="1" x14ac:dyDescent="0.2">
      <c r="A964" s="82"/>
      <c r="D964" s="87"/>
    </row>
    <row r="965" spans="1:4" ht="14.25" customHeight="1" x14ac:dyDescent="0.2">
      <c r="A965" s="82"/>
      <c r="D965" s="87"/>
    </row>
    <row r="966" spans="1:4" ht="14.25" customHeight="1" x14ac:dyDescent="0.2">
      <c r="A966" s="82"/>
      <c r="D966" s="87"/>
    </row>
    <row r="967" spans="1:4" ht="14.25" customHeight="1" x14ac:dyDescent="0.2">
      <c r="A967" s="82"/>
      <c r="D967" s="87"/>
    </row>
    <row r="968" spans="1:4" ht="14.25" customHeight="1" x14ac:dyDescent="0.2">
      <c r="A968" s="82"/>
      <c r="D968" s="87"/>
    </row>
    <row r="969" spans="1:4" ht="14.25" customHeight="1" x14ac:dyDescent="0.2">
      <c r="A969" s="82"/>
      <c r="D969" s="87"/>
    </row>
    <row r="970" spans="1:4" ht="14.25" customHeight="1" x14ac:dyDescent="0.2">
      <c r="A970" s="82"/>
      <c r="D970" s="87"/>
    </row>
    <row r="971" spans="1:4" ht="14.25" customHeight="1" x14ac:dyDescent="0.2">
      <c r="A971" s="82"/>
      <c r="D971" s="87"/>
    </row>
    <row r="972" spans="1:4" ht="14.25" customHeight="1" x14ac:dyDescent="0.2">
      <c r="A972" s="82"/>
      <c r="D972" s="87"/>
    </row>
    <row r="973" spans="1:4" ht="14.25" customHeight="1" x14ac:dyDescent="0.2">
      <c r="A973" s="82"/>
      <c r="D973" s="87"/>
    </row>
    <row r="974" spans="1:4" ht="14.25" customHeight="1" x14ac:dyDescent="0.2">
      <c r="A974" s="82"/>
      <c r="D974" s="87"/>
    </row>
    <row r="975" spans="1:4" ht="14.25" customHeight="1" x14ac:dyDescent="0.2">
      <c r="A975" s="82"/>
      <c r="D975" s="87"/>
    </row>
    <row r="976" spans="1:4" ht="14.25" customHeight="1" x14ac:dyDescent="0.2">
      <c r="A976" s="82"/>
      <c r="D976" s="87"/>
    </row>
    <row r="977" spans="1:4" ht="14.25" customHeight="1" x14ac:dyDescent="0.2">
      <c r="A977" s="82"/>
      <c r="D977" s="87"/>
    </row>
    <row r="978" spans="1:4" ht="14.25" customHeight="1" x14ac:dyDescent="0.2">
      <c r="A978" s="82"/>
      <c r="D978" s="87"/>
    </row>
    <row r="979" spans="1:4" ht="14.25" customHeight="1" x14ac:dyDescent="0.2">
      <c r="A979" s="82"/>
      <c r="D979" s="87"/>
    </row>
    <row r="980" spans="1:4" ht="14.25" customHeight="1" x14ac:dyDescent="0.2">
      <c r="A980" s="82"/>
      <c r="D980" s="87"/>
    </row>
    <row r="981" spans="1:4" ht="14.25" customHeight="1" x14ac:dyDescent="0.2">
      <c r="A981" s="82"/>
      <c r="D981" s="87"/>
    </row>
    <row r="982" spans="1:4" ht="14.25" customHeight="1" x14ac:dyDescent="0.2">
      <c r="A982" s="82"/>
      <c r="D982" s="87"/>
    </row>
    <row r="983" spans="1:4" ht="14.25" customHeight="1" x14ac:dyDescent="0.2">
      <c r="A983" s="82"/>
      <c r="D983" s="87"/>
    </row>
    <row r="984" spans="1:4" ht="14.25" customHeight="1" x14ac:dyDescent="0.2">
      <c r="A984" s="82"/>
      <c r="D984" s="87"/>
    </row>
    <row r="985" spans="1:4" ht="14.25" customHeight="1" x14ac:dyDescent="0.2">
      <c r="A985" s="82"/>
      <c r="D985" s="87"/>
    </row>
    <row r="986" spans="1:4" ht="14.25" customHeight="1" x14ac:dyDescent="0.2">
      <c r="A986" s="82"/>
      <c r="D986" s="87"/>
    </row>
    <row r="987" spans="1:4" ht="14.25" customHeight="1" x14ac:dyDescent="0.2">
      <c r="A987" s="82"/>
      <c r="D987" s="87"/>
    </row>
    <row r="988" spans="1:4" ht="14.25" customHeight="1" x14ac:dyDescent="0.2">
      <c r="A988" s="82"/>
      <c r="D988" s="87"/>
    </row>
    <row r="989" spans="1:4" ht="14.25" customHeight="1" x14ac:dyDescent="0.2">
      <c r="A989" s="82"/>
      <c r="D989" s="87"/>
    </row>
    <row r="990" spans="1:4" ht="14.25" customHeight="1" x14ac:dyDescent="0.2">
      <c r="A990" s="82"/>
      <c r="D990" s="87"/>
    </row>
    <row r="991" spans="1:4" ht="14.25" customHeight="1" x14ac:dyDescent="0.2">
      <c r="A991" s="82"/>
      <c r="D991" s="87"/>
    </row>
    <row r="992" spans="1:4" ht="14.25" customHeight="1" x14ac:dyDescent="0.2">
      <c r="A992" s="82"/>
      <c r="D992" s="87"/>
    </row>
    <row r="993" spans="1:4" ht="14.25" customHeight="1" x14ac:dyDescent="0.2">
      <c r="A993" s="82"/>
      <c r="D993" s="87"/>
    </row>
    <row r="994" spans="1:4" ht="14.25" customHeight="1" x14ac:dyDescent="0.2">
      <c r="A994" s="82"/>
      <c r="D994" s="87"/>
    </row>
    <row r="995" spans="1:4" ht="14.25" customHeight="1" x14ac:dyDescent="0.2">
      <c r="A995" s="82"/>
      <c r="D995" s="87"/>
    </row>
    <row r="996" spans="1:4" ht="14.25" customHeight="1" x14ac:dyDescent="0.2">
      <c r="A996" s="82"/>
      <c r="D996" s="87"/>
    </row>
    <row r="997" spans="1:4" ht="14.25" customHeight="1" x14ac:dyDescent="0.2">
      <c r="A997" s="82"/>
      <c r="D997" s="87"/>
    </row>
    <row r="998" spans="1:4" ht="14.25" customHeight="1" x14ac:dyDescent="0.2">
      <c r="A998" s="82"/>
      <c r="D998" s="87"/>
    </row>
    <row r="999" spans="1:4" ht="14.25" customHeight="1" x14ac:dyDescent="0.2">
      <c r="A999" s="82"/>
      <c r="D999" s="87"/>
    </row>
    <row r="1000" spans="1:4" ht="14.25" customHeight="1" x14ac:dyDescent="0.2">
      <c r="A1000" s="82"/>
      <c r="D1000" s="87"/>
    </row>
  </sheetData>
  <autoFilter ref="A1:L436" xr:uid="{00000000-0009-0000-0000-000007000000}"/>
  <conditionalFormatting sqref="B1:C1 B3:B800 B801:C1000">
    <cfRule type="cellIs" dxfId="135" priority="1" operator="lessThan">
      <formula>0</formula>
    </cfRule>
  </conditionalFormatting>
  <dataValidations count="1">
    <dataValidation type="list" allowBlank="1" showErrorMessage="1" sqref="A553:A1000" xr:uid="{00000000-0002-0000-0700-000003000000}">
      <formula1>$A$6:$A$252</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showErrorMessage="1" xr:uid="{00000000-0002-0000-0700-000000000000}">
          <x14:formula1>
            <xm:f>Kostensoorts!$A$8:$A$266</xm:f>
          </x14:formula1>
          <xm:sqref>A1</xm:sqref>
        </x14:dataValidation>
        <x14:dataValidation type="list" allowBlank="1" showErrorMessage="1" xr:uid="{00000000-0002-0000-0700-000001000000}">
          <x14:formula1>
            <xm:f>Kostensoorts!$A$3:$A$306</xm:f>
          </x14:formula1>
          <xm:sqref>A3 A9:A51 A57:A60 A62 A64 A66:A76 A78 A81:A83 A88 A91:A98 A103 A106 A110:A552</xm:sqref>
        </x14:dataValidation>
        <x14:dataValidation type="list" allowBlank="1" showErrorMessage="1" xr:uid="{00000000-0002-0000-0700-000002000000}">
          <x14:formula1>
            <xm:f>Kostensoorts!$A$3:$A$1039</xm:f>
          </x14:formula1>
          <xm:sqref>A4:A8 A52:A56 A61 A63 A65 A77 A79:A80 A84:A87 A89:A90 A99:A102 A104:A105 A107:A109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BCD9DE"/>
  </sheetPr>
  <dimension ref="A1:E1000"/>
  <sheetViews>
    <sheetView zoomScale="78" workbookViewId="0">
      <selection activeCell="A5" sqref="A5"/>
    </sheetView>
  </sheetViews>
  <sheetFormatPr baseColWidth="10" defaultColWidth="14.5" defaultRowHeight="15" customHeight="1" x14ac:dyDescent="0.2"/>
  <cols>
    <col min="1" max="1" width="76.1640625" customWidth="1"/>
    <col min="2" max="2" width="65.1640625" customWidth="1"/>
    <col min="3" max="3" width="74.1640625" customWidth="1"/>
    <col min="4" max="5" width="10.6640625" customWidth="1"/>
    <col min="6" max="6" width="53.83203125" customWidth="1"/>
    <col min="7" max="26" width="10.6640625" customWidth="1"/>
  </cols>
  <sheetData>
    <row r="1" spans="1:5" ht="27.75" customHeight="1" x14ac:dyDescent="0.2">
      <c r="A1" s="121" t="s">
        <v>372</v>
      </c>
      <c r="B1" s="122"/>
      <c r="C1" s="122"/>
      <c r="E1" s="13"/>
    </row>
    <row r="2" spans="1:5" ht="27.75" customHeight="1" x14ac:dyDescent="0.2">
      <c r="A2" s="123" t="s">
        <v>373</v>
      </c>
      <c r="B2" s="122"/>
      <c r="C2" s="122"/>
      <c r="E2" s="13"/>
    </row>
    <row r="3" spans="1:5" ht="27.75" customHeight="1" x14ac:dyDescent="0.2">
      <c r="A3" s="124" t="s">
        <v>374</v>
      </c>
      <c r="B3" s="125"/>
      <c r="C3" s="122"/>
      <c r="E3" s="13"/>
    </row>
    <row r="4" spans="1:5" ht="27.75" customHeight="1" x14ac:dyDescent="0.2">
      <c r="A4" s="126" t="s">
        <v>375</v>
      </c>
      <c r="B4" s="125"/>
      <c r="C4" s="122"/>
      <c r="E4" s="13"/>
    </row>
    <row r="5" spans="1:5" ht="27.75" customHeight="1" x14ac:dyDescent="0.2">
      <c r="A5" s="589" t="s">
        <v>2780</v>
      </c>
      <c r="B5" s="125"/>
      <c r="C5" s="122"/>
      <c r="E5" s="13"/>
    </row>
    <row r="6" spans="1:5" ht="27.75" customHeight="1" x14ac:dyDescent="0.2"/>
    <row r="7" spans="1:5" ht="27.75" customHeight="1" x14ac:dyDescent="0.25">
      <c r="A7" s="127" t="s">
        <v>376</v>
      </c>
    </row>
    <row r="8" spans="1:5" ht="27.75" customHeight="1" x14ac:dyDescent="0.25">
      <c r="A8" s="128" t="s">
        <v>377</v>
      </c>
    </row>
    <row r="9" spans="1:5" ht="27.75" customHeight="1" x14ac:dyDescent="0.2"/>
    <row r="10" spans="1:5" ht="27.75" customHeight="1" x14ac:dyDescent="0.2"/>
    <row r="11" spans="1:5" ht="27.75" customHeight="1" x14ac:dyDescent="0.2"/>
    <row r="12" spans="1:5" ht="27.75" customHeight="1" x14ac:dyDescent="0.2"/>
    <row r="13" spans="1:5" ht="27.75" customHeight="1" x14ac:dyDescent="0.2"/>
    <row r="14" spans="1:5" ht="27.75" customHeight="1" x14ac:dyDescent="0.2"/>
    <row r="15" spans="1:5" ht="27.75" customHeight="1" x14ac:dyDescent="0.2"/>
    <row r="16" spans="1:5" ht="27.7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8740157499999996" bottom="0.78740157499999996"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29</vt:i4>
      </vt:variant>
    </vt:vector>
  </HeadingPairs>
  <TitlesOfParts>
    <vt:vector size="29" baseType="lpstr">
      <vt:lpstr>Welcome </vt:lpstr>
      <vt:lpstr>Cashbook Navigation</vt:lpstr>
      <vt:lpstr>Kostensoorts</vt:lpstr>
      <vt:lpstr>Cashbook Cash</vt:lpstr>
      <vt:lpstr>Cashbook ING</vt:lpstr>
      <vt:lpstr>Cashbook ING Baseline Savings</vt:lpstr>
      <vt:lpstr>Cashbook Wix</vt:lpstr>
      <vt:lpstr>Cashbook ING Lustrum Savings</vt:lpstr>
      <vt:lpstr>Budget Navigation</vt:lpstr>
      <vt:lpstr>Overview</vt:lpstr>
      <vt:lpstr>Memberships 25_26</vt:lpstr>
      <vt:lpstr>Board</vt:lpstr>
      <vt:lpstr>Board-Organized Events</vt:lpstr>
      <vt:lpstr>Academic</vt:lpstr>
      <vt:lpstr>Awareness</vt:lpstr>
      <vt:lpstr>Arts</vt:lpstr>
      <vt:lpstr>Travel</vt:lpstr>
      <vt:lpstr>Party</vt:lpstr>
      <vt:lpstr>Cross-Connect</vt:lpstr>
      <vt:lpstr>Sports</vt:lpstr>
      <vt:lpstr>FMW</vt:lpstr>
      <vt:lpstr>TYW</vt:lpstr>
      <vt:lpstr>Yearbook</vt:lpstr>
      <vt:lpstr>AIM Week</vt:lpstr>
      <vt:lpstr>Intreeweek</vt:lpstr>
      <vt:lpstr>Amsterdam Unlocked</vt:lpstr>
      <vt:lpstr>AIM Club</vt:lpstr>
      <vt:lpstr>AIM Sports Teams</vt:lpstr>
      <vt:lpstr>Merchandise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Oskar Krafft</dc:creator>
  <cp:lastModifiedBy>Sophia Bitner</cp:lastModifiedBy>
  <dcterms:created xsi:type="dcterms:W3CDTF">2015-06-05T18:19:34Z</dcterms:created>
  <dcterms:modified xsi:type="dcterms:W3CDTF">2026-02-21T14:03:00Z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0x01010043F2BA81806E3A4797F0216F65D9C32A</vt:lpwstr>
  </property>
</Properties>
</file>